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ispfs01\homovi\ikresic\Desktop\"/>
    </mc:Choice>
  </mc:AlternateContent>
  <xr:revisionPtr revIDLastSave="0" documentId="8_{12B6B387-B5D7-4FB1-9358-A3D2EC6E7FA7}" xr6:coauthVersionLast="47" xr6:coauthVersionMax="47" xr10:uidLastSave="{00000000-0000-0000-0000-000000000000}"/>
  <bookViews>
    <workbookView xWindow="28680" yWindow="-120" windowWidth="38640" windowHeight="21120" xr2:uid="{00000000-000D-0000-FFFF-FFFF00000000}"/>
  </bookViews>
  <sheets>
    <sheet name="Naslovnica " sheetId="5" r:id="rId1"/>
    <sheet name="OTU" sheetId="20" r:id="rId2"/>
    <sheet name="Preambule-konstrukcija" sheetId="8" r:id="rId3"/>
    <sheet name="A0 Rušenje" sheetId="6" r:id="rId4"/>
    <sheet name="A1 Građ" sheetId="2" r:id="rId5"/>
    <sheet name="A2 Obrt" sheetId="3" r:id="rId6"/>
    <sheet name="A3 Konzervatorski" sheetId="7" r:id="rId7"/>
    <sheet name="B-VIO-OTU" sheetId="14" r:id="rId8"/>
    <sheet name="B-BIO-REKAP" sheetId="15" r:id="rId9"/>
    <sheet name="B-VIO-1. ZEMLJANI I AB RADOVI" sheetId="16" r:id="rId10"/>
    <sheet name="B-VIO-2. VODOVOD" sheetId="17" r:id="rId11"/>
    <sheet name="B-VIO-3. KANALIZACIJA" sheetId="18" r:id="rId12"/>
    <sheet name="B-VIO-4. SANITARNA OPREMA" sheetId="19" r:id="rId13"/>
    <sheet name="C-OU" sheetId="9" r:id="rId14"/>
    <sheet name="C GH" sheetId="10" r:id="rId15"/>
    <sheet name="D Sprinkler" sheetId="13" r:id="rId16"/>
    <sheet name="E Vertikalni transport" sheetId="12" r:id="rId17"/>
    <sheet name="F Elektro" sheetId="22" r:id="rId18"/>
    <sheet name="G Krajobraz" sheetId="11" r:id="rId19"/>
    <sheet name="Rekapitulacija" sheetId="4" r:id="rId20"/>
  </sheets>
  <externalReferences>
    <externalReference r:id="rId21"/>
    <externalReference r:id="rId22"/>
    <externalReference r:id="rId23"/>
    <externalReference r:id="rId24"/>
    <externalReference r:id="rId25"/>
    <externalReference r:id="rId26"/>
    <externalReference r:id="rId27"/>
    <externalReference r:id="rId28"/>
  </externalReferences>
  <definedNames>
    <definedName name="_1Excel_BuiltIn_Print_Area_1" localSheetId="5">#REF!</definedName>
    <definedName name="_1Excel_BuiltIn_Print_Area_1" localSheetId="16">#REF!</definedName>
    <definedName name="_1Excel_BuiltIn_Print_Area_1" localSheetId="0">#REF!</definedName>
    <definedName name="_1Excel_BuiltIn_Print_Area_1" localSheetId="1">#REF!</definedName>
    <definedName name="_1Excel_BuiltIn_Print_Area_1" localSheetId="19">#REF!</definedName>
    <definedName name="_1Excel_BuiltIn_Print_Area_1">#REF!</definedName>
    <definedName name="_Toc148330261" localSheetId="18">'G Krajobraz'!$C$657</definedName>
    <definedName name="ASD" localSheetId="16">#REF!</definedName>
    <definedName name="ASD" localSheetId="1">#REF!</definedName>
    <definedName name="ASD">#REF!</definedName>
    <definedName name="AVD" localSheetId="16">#REF!</definedName>
    <definedName name="AVD" localSheetId="1">#REF!</definedName>
    <definedName name="AVD">#REF!</definedName>
    <definedName name="_xlnm.Database">#REF!</definedName>
    <definedName name="beton">[1]AB!#REF!</definedName>
    <definedName name="beton2">[1]AB!#REF!</definedName>
    <definedName name="beton3">#REF!</definedName>
    <definedName name="BETONSKI_I_ARM.BET._RADOVI">#REF!</definedName>
    <definedName name="BETONSKI_I_ARM.BETONSKI_RADOVI">#REF!</definedName>
    <definedName name="BOD" localSheetId="5">#REF!</definedName>
    <definedName name="BOD" localSheetId="16">[2]Elektro!#REF!</definedName>
    <definedName name="BOD">#REF!</definedName>
    <definedName name="BODIC" localSheetId="16">[2]Elektro!#REF!</definedName>
    <definedName name="BODIC">#REF!</definedName>
    <definedName name="BODICA" localSheetId="16">#REF!</definedName>
    <definedName name="BODICA">#REF!</definedName>
    <definedName name="BRAVARIJA_SKLONIŠTA">#REF!</definedName>
    <definedName name="cartons">'[3]cjenik (2)'!$T$1</definedName>
    <definedName name="CEH">#REF!</definedName>
    <definedName name="CRNA_BRAVARIJA">#REF!</definedName>
    <definedName name="č" localSheetId="16">#REF!</definedName>
    <definedName name="č">#REF!</definedName>
    <definedName name="ČELIČNA_KONSTRUKCIJA">#REF!</definedName>
    <definedName name="DAT_SIT">'[4]O.pod.'!$C$17</definedName>
    <definedName name="DATOTEKA">'[4]O.pod.'!$C$22</definedName>
    <definedName name="dd">#REF!</definedName>
    <definedName name="DIMNJACI">#REF!</definedName>
    <definedName name="DIZALA">#REF!</definedName>
    <definedName name="EXCEG" localSheetId="16">#REF!</definedName>
    <definedName name="EXCEG" localSheetId="1">#REF!</definedName>
    <definedName name="EXCEG" localSheetId="19">#REF!</definedName>
    <definedName name="EXCEG">#REF!</definedName>
    <definedName name="Excel_BuiltIn_Print_Area_1" localSheetId="3">#REF!</definedName>
    <definedName name="Excel_BuiltIn_Print_Area_1" localSheetId="16">#REF!</definedName>
    <definedName name="Excel_BuiltIn_Print_Area_1" localSheetId="1">#REF!</definedName>
    <definedName name="Excel_BuiltIn_Print_Area_1" localSheetId="19">#REF!</definedName>
    <definedName name="Excel_BuiltIn_Print_Area_1">#REF!</definedName>
    <definedName name="Excel_BuiltIn_Print_Area_1_1" localSheetId="3">#REF!</definedName>
    <definedName name="Excel_BuiltIn_Print_Area_1_1" localSheetId="16">#REF!</definedName>
    <definedName name="Excel_BuiltIn_Print_Area_1_1" localSheetId="1">#REF!</definedName>
    <definedName name="Excel_BuiltIn_Print_Area_1_1" localSheetId="19">#REF!</definedName>
    <definedName name="Excel_BuiltIn_Print_Area_1_1">#REF!</definedName>
    <definedName name="Excel_BuiltIn_Print_Area_2" localSheetId="16">#REF!</definedName>
    <definedName name="Excel_BuiltIn_Print_Area_2">#REF!</definedName>
    <definedName name="Excel_BuiltIn_Print_Area_3" localSheetId="16">#REF!</definedName>
    <definedName name="Excel_BuiltIn_Print_Area_3">#REF!</definedName>
    <definedName name="Excel_BuiltIn_Print_Area_4" localSheetId="16">#REF!</definedName>
    <definedName name="Excel_BuiltIn_Print_Area_4">#REF!</definedName>
    <definedName name="Excel_BuiltIn_Print_Area_5" localSheetId="16">#REF!</definedName>
    <definedName name="Excel_BuiltIn_Print_Area_5">#REF!</definedName>
    <definedName name="Excel_BuiltIn_Print_Titles" localSheetId="16">#REF!</definedName>
    <definedName name="Excel_BuiltIn_Print_Titles">#REF!</definedName>
    <definedName name="Excel_BuiltIn_Print_Titles_1" localSheetId="16">#REF!</definedName>
    <definedName name="Excel_BuiltIn_Print_Titles_1">#REF!</definedName>
    <definedName name="Excel_BuiltIn_Print_Titles_1_1" localSheetId="16">#REF!</definedName>
    <definedName name="Excel_BuiltIn_Print_Titles_1_1">#REF!</definedName>
    <definedName name="Excel_BuiltIn_Print_Titles_2" localSheetId="16">#REF!</definedName>
    <definedName name="Excel_BuiltIn_Print_Titles_2">#REF!</definedName>
    <definedName name="Excel_BuiltIn_Print_Titles_3" localSheetId="16">#REF!</definedName>
    <definedName name="Excel_BuiltIn_Print_Titles_3">#REF!</definedName>
    <definedName name="Excel_BuiltIn_Print_Titles_4" localSheetId="16">#REF!</definedName>
    <definedName name="Excel_BuiltIn_Print_Titles_4">#REF!</definedName>
    <definedName name="Excel_BuiltIn_Print_Titles_5" localSheetId="16">#REF!</definedName>
    <definedName name="Excel_BuiltIn_Print_Titles_5">#REF!</definedName>
    <definedName name="FASADERSKI_RADOVI">#REF!</definedName>
    <definedName name="GP_KRK">#REF!</definedName>
    <definedName name="Gradjevina" localSheetId="16">#REF!</definedName>
    <definedName name="Gradjevina">#REF!</definedName>
    <definedName name="INOX_BRAVARIJA">#REF!</definedName>
    <definedName name="_xlnm.Print_Titles" localSheetId="8">'B-BIO-REKAP'!$1:$2</definedName>
    <definedName name="_xlnm.Print_Titles" localSheetId="9">'B-VIO-1. ZEMLJANI I AB RADOVI'!$1:$3</definedName>
    <definedName name="_xlnm.Print_Titles" localSheetId="10">'B-VIO-2. VODOVOD'!$1:$3</definedName>
    <definedName name="_xlnm.Print_Titles" localSheetId="11">'B-VIO-3. KANALIZACIJA'!$1:$3</definedName>
    <definedName name="_xlnm.Print_Titles" localSheetId="12">'B-VIO-4. SANITARNA OPREMA'!$1:$3</definedName>
    <definedName name="_xlnm.Print_Titles" localSheetId="16">'E Vertikalni transport'!$1:$2</definedName>
    <definedName name="_xlnm.Print_Titles" localSheetId="18">'G Krajobraz'!$2:$3</definedName>
    <definedName name="IZOLACIJE">[5]dvorana!#REF!</definedName>
    <definedName name="IZOLATERSKI_RADOVI">#REF!</definedName>
    <definedName name="k" localSheetId="3">#REF!</definedName>
    <definedName name="k" localSheetId="16">#REF!</definedName>
    <definedName name="k" localSheetId="1">#REF!</definedName>
    <definedName name="k" localSheetId="19">#REF!</definedName>
    <definedName name="k">#REF!</definedName>
    <definedName name="KAMENARSKI_RADOVI">#REF!</definedName>
    <definedName name="KERAMIČARSKI_I_KAMENARSKI_RADOVI">[5]dvorana!#REF!</definedName>
    <definedName name="KERAMIČARSKI_RADOVI">#REF!</definedName>
    <definedName name="kk_1">[6]POMOĆNI!$B$76</definedName>
    <definedName name="kk1i">[6]POMOĆNI!$B$64</definedName>
    <definedName name="kk1p">[6]POMOĆNI!$B$58</definedName>
    <definedName name="kk1v">[6]POMOĆNI!$L$57</definedName>
    <definedName name="kk2i">[6]POMOĆNI!$B$65</definedName>
    <definedName name="kk2p">[6]POMOĆNI!$B$59</definedName>
    <definedName name="kk2v">[6]POMOĆNI!$L$58</definedName>
    <definedName name="kk3i">[6]POMOĆNI!$B$66</definedName>
    <definedName name="kk3p">[6]POMOĆNI!$B$60</definedName>
    <definedName name="kk3v">[6]POMOĆNI!$L$59</definedName>
    <definedName name="kk4i">[6]POMOĆNI!$B$67</definedName>
    <definedName name="kk4p">[6]POMOĆNI!$B$61</definedName>
    <definedName name="kk4v">[6]POMOĆNI!$L$60</definedName>
    <definedName name="kk5i">[6]POMOĆNI!$B$68</definedName>
    <definedName name="kk5p">[6]POMOĆNI!$B$62</definedName>
    <definedName name="kk5v">[6]POMOĆNI!$L$61</definedName>
    <definedName name="kk6i">[6]POMOĆNI!$B$69</definedName>
    <definedName name="kk6p">[6]POMOĆNI!$B$63</definedName>
    <definedName name="kk6v">[6]POMOĆNI!$L$62</definedName>
    <definedName name="Kolnik_16.3.">'[7]16. Prometnice'!$G$277</definedName>
    <definedName name="krov">[6]POMOĆNI!$B$56:$B$69</definedName>
    <definedName name="krov_1">[6]POMOĆNI!$L$56:$L$62</definedName>
    <definedName name="krov_2">[6]POMOĆNI!$B$76:$B$77</definedName>
    <definedName name="KROVOPOKRIVAČKI_RADOVI">#REF!</definedName>
    <definedName name="LIMARSKI_RADOVI">#REF!</definedName>
    <definedName name="M" localSheetId="3">#REF!</definedName>
    <definedName name="M" localSheetId="16">#REF!</definedName>
    <definedName name="M" localSheetId="1">#REF!</definedName>
    <definedName name="M" localSheetId="19">#REF!</definedName>
    <definedName name="M">#REF!</definedName>
    <definedName name="MMMMMMMM" localSheetId="3">#REF!</definedName>
    <definedName name="MMMMMMMM" localSheetId="16">#REF!</definedName>
    <definedName name="MMMMMMMM" localSheetId="1">#REF!</definedName>
    <definedName name="MMMMMMMM">#REF!</definedName>
    <definedName name="NEHRĐAJUĆA_BRAVARIJA">#REF!</definedName>
    <definedName name="Odvod_16.4.">'[7]16. Prometnice'!$G$329</definedName>
    <definedName name="OSIJEK_KOTEKS">#REF!</definedName>
    <definedName name="OSTALI_RADOVI">#REF!</definedName>
    <definedName name="pausal">#REF!</definedName>
    <definedName name="paušal">#REF!</definedName>
    <definedName name="PILOTI">#REF!</definedName>
    <definedName name="PODOVI">#REF!</definedName>
    <definedName name="_xlnm.Print_Area" localSheetId="3">'A0 Rušenje'!$A$1:$F$298</definedName>
    <definedName name="_xlnm.Print_Area" localSheetId="4">'A1 Građ'!$A$1:$F$1161</definedName>
    <definedName name="_xlnm.Print_Area" localSheetId="5">'A2 Obrt'!$A$1:$F$1641</definedName>
    <definedName name="_xlnm.Print_Area" localSheetId="6">'A3 Konzervatorski'!$A$1:$F$385</definedName>
    <definedName name="_xlnm.Print_Area" localSheetId="8">'B-BIO-REKAP'!$A$1:$F$25</definedName>
    <definedName name="_xlnm.Print_Area" localSheetId="9">'B-VIO-1. ZEMLJANI I AB RADOVI'!$A$1:$F$63</definedName>
    <definedName name="_xlnm.Print_Area" localSheetId="10">'B-VIO-2. VODOVOD'!$A$1:$F$138</definedName>
    <definedName name="_xlnm.Print_Area" localSheetId="11">'B-VIO-3. KANALIZACIJA'!$A$1:$F$137</definedName>
    <definedName name="_xlnm.Print_Area" localSheetId="12">'B-VIO-4. SANITARNA OPREMA'!$A$1:$F$137</definedName>
    <definedName name="_xlnm.Print_Area" localSheetId="7">'B-VIO-OTU'!$B$1:$G$63</definedName>
    <definedName name="_xlnm.Print_Area" localSheetId="15">'D Sprinkler'!$A$1:$F$318</definedName>
    <definedName name="_xlnm.Print_Area" localSheetId="16">'E Vertikalni transport'!$A$1:$F$32</definedName>
    <definedName name="_xlnm.Print_Area" localSheetId="18">'G Krajobraz'!$B$2:$G$1045</definedName>
    <definedName name="_xlnm.Print_Area" localSheetId="0">'Naslovnica '!$A$1:$K$55</definedName>
    <definedName name="_xlnm.Print_Area" localSheetId="1">OTU!$A$1:$I$54</definedName>
    <definedName name="_xlnm.Print_Area" localSheetId="2">'Preambule-konstrukcija'!$A$1:$F$314</definedName>
    <definedName name="Ponudjac" localSheetId="3">#REF!</definedName>
    <definedName name="Ponudjac" localSheetId="16">#REF!</definedName>
    <definedName name="Ponudjac" localSheetId="0">#REF!</definedName>
    <definedName name="Ponudjac" localSheetId="1">#REF!</definedName>
    <definedName name="Ponudjac" localSheetId="19">#REF!</definedName>
    <definedName name="Ponudjac">#REF!</definedName>
    <definedName name="pop" localSheetId="3">#REF!</definedName>
    <definedName name="pop" localSheetId="16">#REF!</definedName>
    <definedName name="pop" localSheetId="0">#REF!</definedName>
    <definedName name="pop" localSheetId="1">#REF!</definedName>
    <definedName name="pop" localSheetId="19">#REF!</definedName>
    <definedName name="pop">#REF!</definedName>
    <definedName name="PREGRADNE_STIJENE">#REF!</definedName>
    <definedName name="Pripr_16.1.">'[7]16. Prometnice'!$G$66</definedName>
    <definedName name="PROTUPOŽARNA_BRAVARIJA">#REF!</definedName>
    <definedName name="R_E_K_A_P_I_T_U_L_A_C_I_J_A">#REF!</definedName>
    <definedName name="rbr" localSheetId="3">#REF!</definedName>
    <definedName name="rbr" localSheetId="16">#REF!</definedName>
    <definedName name="rbr" localSheetId="0">#REF!</definedName>
    <definedName name="rbr" localSheetId="1">#REF!</definedName>
    <definedName name="rbr" localSheetId="19">#REF!</definedName>
    <definedName name="rbr">#REF!</definedName>
    <definedName name="rk_1">[6]POMOĆNI!$B$77</definedName>
    <definedName name="rk1v">[6]POMOĆNI!$L$56</definedName>
    <definedName name="rkh">[6]POMOĆNI!$B$56</definedName>
    <definedName name="rkv">[6]POMOĆNI!$B$57</definedName>
    <definedName name="RTG_BRAVARIJA">#REF!</definedName>
    <definedName name="RUŠENJA_I_PRILAGODBE">#REF!</definedName>
    <definedName name="RUŠENJA_I_PRILAGODBE_GRAĐEVINSKIH_ELEMENATA_POSTOJEĆIH_GRAĐEVINA">[5]dvorana!#REF!</definedName>
    <definedName name="Sign_16.5.">'[7]16. Prometnice'!$G$408</definedName>
    <definedName name="SOBOSLIKARSKI_RADOVI">#REF!</definedName>
    <definedName name="SPUŠTENI_STROPOVI">#REF!</definedName>
    <definedName name="STOLARSKI_RADOVI">#REF!</definedName>
    <definedName name="total_DM">[8]cjenik1994!XFC1*[8]cjenik1994!XFD1</definedName>
    <definedName name="UKLANJANJE_OBJEKATA_I_IZGRADNJA_PRIVREMENE_SAOBRAČAJNICE">#REF!</definedName>
    <definedName name="UNUTARNJA_ALUMINIJSKA__BRAVARIJA">#REF!</definedName>
    <definedName name="UNUTARNJA_ALUMINIJSKA_BRAVARIJA">#REF!</definedName>
    <definedName name="VANJSKA_ALUMINIJSKA__BRAVARIJA">#REF!</definedName>
    <definedName name="VANJSKA_ALUMINIJSKA_BRAVARIJA">#REF!</definedName>
    <definedName name="ZAGREB_MONTAŽA">#REF!</definedName>
    <definedName name="Zem_16.2.">'[7]16. Prometnice'!$G$130</definedName>
    <definedName name="ZEMLJANI_RADOVI">#REF!</definedName>
    <definedName name="ZIDARSKI_RADOVI">#REF!</definedName>
    <definedName name="ž">#REF!</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08" i="2" l="1"/>
  <c r="F509" i="2"/>
  <c r="F510" i="2"/>
  <c r="F511" i="2"/>
  <c r="F512" i="2"/>
  <c r="F56" i="2"/>
  <c r="F57" i="2"/>
  <c r="F58" i="2"/>
  <c r="F59" i="2"/>
  <c r="F60" i="2"/>
  <c r="F1532" i="3"/>
  <c r="F1533" i="3"/>
  <c r="F1534" i="3"/>
  <c r="F1535" i="3"/>
  <c r="F1536" i="3"/>
  <c r="F1537" i="3"/>
  <c r="F1538" i="3"/>
  <c r="F1539" i="3"/>
  <c r="F1540" i="3"/>
  <c r="F1541" i="3"/>
  <c r="F1542" i="3"/>
  <c r="F1543" i="3"/>
  <c r="F1544" i="3"/>
  <c r="F1545" i="3"/>
  <c r="F1546" i="3"/>
  <c r="F1547" i="3"/>
  <c r="F1548" i="3"/>
  <c r="F1549" i="3"/>
  <c r="F1550" i="3"/>
  <c r="F1551" i="3"/>
  <c r="F1552" i="3"/>
  <c r="F1553" i="3"/>
  <c r="F1554" i="3"/>
  <c r="F1555" i="3"/>
  <c r="F1556" i="3"/>
  <c r="F1557" i="3"/>
  <c r="F1558" i="3"/>
  <c r="F1559" i="3"/>
  <c r="F1560" i="3"/>
  <c r="F460" i="2"/>
  <c r="F461" i="2"/>
  <c r="F462" i="2"/>
  <c r="F463" i="2"/>
  <c r="F464" i="2"/>
  <c r="F1589" i="3"/>
  <c r="F1590" i="3"/>
  <c r="F1591" i="3"/>
  <c r="F1592" i="3"/>
  <c r="F1593" i="3"/>
  <c r="F1594" i="3"/>
  <c r="F1595" i="3"/>
  <c r="F1596" i="3"/>
  <c r="F1597" i="3"/>
  <c r="F1598" i="3"/>
  <c r="F1599" i="3"/>
  <c r="F1600" i="3"/>
  <c r="F1601" i="3"/>
  <c r="F1602" i="3"/>
  <c r="F1603" i="3"/>
  <c r="F1604" i="3"/>
  <c r="F540" i="3"/>
  <c r="F541" i="3"/>
  <c r="F542" i="3"/>
  <c r="F543" i="3"/>
  <c r="F544" i="3"/>
  <c r="F545" i="3"/>
  <c r="F546" i="3"/>
  <c r="F547" i="3"/>
  <c r="F312" i="7"/>
  <c r="F314" i="7"/>
  <c r="F315" i="7"/>
  <c r="H1031" i="22"/>
  <c r="H1027" i="22"/>
  <c r="H1022" i="22"/>
  <c r="H1009" i="22"/>
  <c r="H999" i="22"/>
  <c r="H990" i="22"/>
  <c r="H980" i="22"/>
  <c r="H962" i="22"/>
  <c r="H946" i="22"/>
  <c r="H932" i="22"/>
  <c r="H915" i="22"/>
  <c r="H898" i="22"/>
  <c r="H891" i="22"/>
  <c r="H874" i="22"/>
  <c r="H855" i="22"/>
  <c r="H839" i="22"/>
  <c r="H825" i="22"/>
  <c r="H802" i="22"/>
  <c r="H781" i="22"/>
  <c r="H760" i="22"/>
  <c r="H734" i="22"/>
  <c r="F405" i="2"/>
  <c r="F389" i="2"/>
  <c r="F22" i="6"/>
  <c r="F189" i="2"/>
  <c r="F188" i="2"/>
  <c r="A1926" i="22"/>
  <c r="D1924" i="22"/>
  <c r="B1924" i="22"/>
  <c r="A1924" i="22"/>
  <c r="D1923" i="22"/>
  <c r="B1923" i="22"/>
  <c r="A1923" i="22"/>
  <c r="D1922" i="22"/>
  <c r="B1922" i="22"/>
  <c r="A1922" i="22"/>
  <c r="D1921" i="22"/>
  <c r="B1921" i="22"/>
  <c r="A1921" i="22"/>
  <c r="D1919" i="22"/>
  <c r="A1919" i="22"/>
  <c r="D1914" i="22"/>
  <c r="B1914" i="22"/>
  <c r="A1914" i="22"/>
  <c r="H1912" i="22"/>
  <c r="H1910" i="22"/>
  <c r="H1908" i="22"/>
  <c r="H1906" i="22"/>
  <c r="H1904" i="22"/>
  <c r="H1902" i="22"/>
  <c r="H1900" i="22"/>
  <c r="H1898" i="22"/>
  <c r="H1896" i="22"/>
  <c r="H1893" i="22"/>
  <c r="H1891" i="22"/>
  <c r="H1889" i="22"/>
  <c r="H1887" i="22"/>
  <c r="H1885" i="22"/>
  <c r="H1883" i="22"/>
  <c r="H1881" i="22"/>
  <c r="H1879" i="22"/>
  <c r="H1877" i="22"/>
  <c r="H1875" i="22"/>
  <c r="H1873" i="22"/>
  <c r="H1871" i="22"/>
  <c r="H1869" i="22"/>
  <c r="H1867" i="22"/>
  <c r="H1865" i="22"/>
  <c r="H1863" i="22"/>
  <c r="H1861" i="22"/>
  <c r="H1859" i="22"/>
  <c r="H1857" i="22"/>
  <c r="H1855" i="22"/>
  <c r="H1853" i="22"/>
  <c r="C1851" i="22"/>
  <c r="C1855" i="22" s="1"/>
  <c r="C1857" i="22" s="1"/>
  <c r="C1859" i="22" s="1"/>
  <c r="C1861" i="22" s="1"/>
  <c r="C1863" i="22" s="1"/>
  <c r="C1865" i="22" s="1"/>
  <c r="C1867" i="22" s="1"/>
  <c r="C1869" i="22" s="1"/>
  <c r="C1871" i="22" s="1"/>
  <c r="C1873" i="22" s="1"/>
  <c r="C1875" i="22" s="1"/>
  <c r="C1877" i="22" s="1"/>
  <c r="C1879" i="22" s="1"/>
  <c r="C1881" i="22" s="1"/>
  <c r="C1883" i="22" s="1"/>
  <c r="C1885" i="22" s="1"/>
  <c r="C1887" i="22" s="1"/>
  <c r="C1889" i="22" s="1"/>
  <c r="C1891" i="22" s="1"/>
  <c r="C1893" i="22" s="1"/>
  <c r="C1896" i="22" s="1"/>
  <c r="C1898" i="22" s="1"/>
  <c r="C1900" i="22" s="1"/>
  <c r="C1902" i="22" s="1"/>
  <c r="C1904" i="22" s="1"/>
  <c r="C1906" i="22" s="1"/>
  <c r="C1908" i="22" s="1"/>
  <c r="C1910" i="22" s="1"/>
  <c r="C1912" i="22" s="1"/>
  <c r="H1849" i="22"/>
  <c r="B1848" i="22"/>
  <c r="B1851" i="22" s="1"/>
  <c r="B1855" i="22" s="1"/>
  <c r="B1857" i="22" s="1"/>
  <c r="B1859" i="22" s="1"/>
  <c r="B1861" i="22" s="1"/>
  <c r="B1863" i="22" s="1"/>
  <c r="B1865" i="22" s="1"/>
  <c r="B1867" i="22" s="1"/>
  <c r="B1869" i="22" s="1"/>
  <c r="B1871" i="22" s="1"/>
  <c r="B1873" i="22" s="1"/>
  <c r="B1875" i="22" s="1"/>
  <c r="B1877" i="22" s="1"/>
  <c r="B1879" i="22" s="1"/>
  <c r="B1881" i="22" s="1"/>
  <c r="B1883" i="22" s="1"/>
  <c r="B1885" i="22" s="1"/>
  <c r="B1887" i="22" s="1"/>
  <c r="B1889" i="22" s="1"/>
  <c r="B1891" i="22" s="1"/>
  <c r="B1893" i="22" s="1"/>
  <c r="B1896" i="22" s="1"/>
  <c r="B1898" i="22" s="1"/>
  <c r="B1900" i="22" s="1"/>
  <c r="B1902" i="22" s="1"/>
  <c r="B1904" i="22" s="1"/>
  <c r="B1906" i="22" s="1"/>
  <c r="B1908" i="22" s="1"/>
  <c r="B1910" i="22" s="1"/>
  <c r="B1912" i="22" s="1"/>
  <c r="A1843" i="22"/>
  <c r="A1848" i="22" s="1"/>
  <c r="A1851" i="22" s="1"/>
  <c r="A1855" i="22" s="1"/>
  <c r="A1857" i="22" s="1"/>
  <c r="A1859" i="22" s="1"/>
  <c r="A1861" i="22" s="1"/>
  <c r="A1863" i="22" s="1"/>
  <c r="A1865" i="22" s="1"/>
  <c r="A1867" i="22" s="1"/>
  <c r="A1869" i="22" s="1"/>
  <c r="A1871" i="22" s="1"/>
  <c r="A1873" i="22" s="1"/>
  <c r="A1875" i="22" s="1"/>
  <c r="A1877" i="22" s="1"/>
  <c r="A1879" i="22" s="1"/>
  <c r="A1881" i="22" s="1"/>
  <c r="A1883" i="22" s="1"/>
  <c r="A1885" i="22" s="1"/>
  <c r="A1887" i="22" s="1"/>
  <c r="A1889" i="22" s="1"/>
  <c r="A1891" i="22" s="1"/>
  <c r="A1893" i="22" s="1"/>
  <c r="A1896" i="22" s="1"/>
  <c r="A1898" i="22" s="1"/>
  <c r="A1900" i="22" s="1"/>
  <c r="A1902" i="22" s="1"/>
  <c r="A1904" i="22" s="1"/>
  <c r="A1906" i="22" s="1"/>
  <c r="A1908" i="22" s="1"/>
  <c r="A1910" i="22" s="1"/>
  <c r="A1912" i="22" s="1"/>
  <c r="D1840" i="22"/>
  <c r="B1840" i="22"/>
  <c r="A1840" i="22"/>
  <c r="H1838" i="22"/>
  <c r="H1836" i="22"/>
  <c r="H1834" i="22"/>
  <c r="H1831" i="22"/>
  <c r="H1829" i="22"/>
  <c r="H1827" i="22"/>
  <c r="H1824" i="22"/>
  <c r="H1815" i="22"/>
  <c r="H1813" i="22"/>
  <c r="H1810" i="22"/>
  <c r="H1807" i="22"/>
  <c r="H1804" i="22"/>
  <c r="H1802" i="22"/>
  <c r="H1800" i="22"/>
  <c r="H1797" i="22"/>
  <c r="H1795" i="22"/>
  <c r="H1793" i="22"/>
  <c r="H1791" i="22"/>
  <c r="H1789" i="22"/>
  <c r="H1787" i="22"/>
  <c r="H1785" i="22"/>
  <c r="H1783" i="22"/>
  <c r="H1781" i="22"/>
  <c r="H1779" i="22"/>
  <c r="H1777" i="22"/>
  <c r="H1775" i="22"/>
  <c r="H1773" i="22"/>
  <c r="H1771" i="22"/>
  <c r="H1769" i="22"/>
  <c r="H1767" i="22"/>
  <c r="H1762" i="22"/>
  <c r="H1759" i="22"/>
  <c r="H1755" i="22"/>
  <c r="H1753" i="22"/>
  <c r="H1749" i="22"/>
  <c r="H1745" i="22"/>
  <c r="H1741" i="22"/>
  <c r="H1737" i="22"/>
  <c r="H1733" i="22"/>
  <c r="H1729" i="22"/>
  <c r="H1725" i="22"/>
  <c r="H1720" i="22"/>
  <c r="H1715" i="22"/>
  <c r="H1710" i="22"/>
  <c r="H1706" i="22"/>
  <c r="H1704" i="22"/>
  <c r="H1702" i="22"/>
  <c r="H1700" i="22"/>
  <c r="F1694" i="22"/>
  <c r="H1692" i="22"/>
  <c r="H1690" i="22"/>
  <c r="H1674" i="22"/>
  <c r="H1658" i="22"/>
  <c r="H1642" i="22"/>
  <c r="H1624" i="22"/>
  <c r="H1622" i="22"/>
  <c r="H1620" i="22"/>
  <c r="H1618" i="22"/>
  <c r="H1616" i="22"/>
  <c r="H1614" i="22"/>
  <c r="H1607" i="22"/>
  <c r="H1605" i="22"/>
  <c r="H1602" i="22"/>
  <c r="H1600" i="22"/>
  <c r="H1598" i="22"/>
  <c r="H1596" i="22"/>
  <c r="H1594" i="22"/>
  <c r="H1592" i="22"/>
  <c r="H1588" i="22"/>
  <c r="H1581" i="22"/>
  <c r="H1574" i="22"/>
  <c r="H1572" i="22"/>
  <c r="H1569" i="22"/>
  <c r="H1567" i="22"/>
  <c r="H1565" i="22"/>
  <c r="H1563" i="22"/>
  <c r="H1561" i="22"/>
  <c r="H1559" i="22"/>
  <c r="H1557" i="22"/>
  <c r="H1555" i="22"/>
  <c r="H1553" i="22"/>
  <c r="H1551" i="22"/>
  <c r="H1549" i="22"/>
  <c r="H1547" i="22"/>
  <c r="H1545" i="22"/>
  <c r="H1543" i="22"/>
  <c r="H1541" i="22"/>
  <c r="H1539" i="22"/>
  <c r="H1537" i="22"/>
  <c r="H1535" i="22"/>
  <c r="H1533" i="22"/>
  <c r="H1531" i="22"/>
  <c r="H1529" i="22"/>
  <c r="H1527" i="22"/>
  <c r="H1525" i="22"/>
  <c r="H1523" i="22"/>
  <c r="H1521" i="22"/>
  <c r="H1519" i="22"/>
  <c r="H1517" i="22"/>
  <c r="H1515" i="22"/>
  <c r="H1513" i="22"/>
  <c r="H1511" i="22"/>
  <c r="H1509" i="22"/>
  <c r="H1507" i="22"/>
  <c r="H1505" i="22"/>
  <c r="H1503" i="22"/>
  <c r="H1501" i="22"/>
  <c r="H1499" i="22"/>
  <c r="H1496" i="22"/>
  <c r="H1494" i="22"/>
  <c r="H1492" i="22"/>
  <c r="H1490" i="22"/>
  <c r="H1488" i="22"/>
  <c r="H1486" i="22"/>
  <c r="H1484" i="22"/>
  <c r="H1482" i="22"/>
  <c r="H1480" i="22"/>
  <c r="H1478" i="22"/>
  <c r="H1476" i="22"/>
  <c r="H1474" i="22"/>
  <c r="H1472" i="22"/>
  <c r="H1466" i="22"/>
  <c r="H1462" i="22"/>
  <c r="H1452" i="22"/>
  <c r="H1450" i="22"/>
  <c r="H1442" i="22"/>
  <c r="H1440" i="22"/>
  <c r="H1438" i="22"/>
  <c r="H1436" i="22"/>
  <c r="H1434" i="22"/>
  <c r="H1432" i="22"/>
  <c r="H1430" i="22"/>
  <c r="H1428" i="22"/>
  <c r="F1424" i="22"/>
  <c r="H1422" i="22"/>
  <c r="H1420" i="22"/>
  <c r="H1418" i="22"/>
  <c r="H1416" i="22"/>
  <c r="H1414" i="22"/>
  <c r="H1412" i="22"/>
  <c r="H1410" i="22"/>
  <c r="H1408" i="22"/>
  <c r="H1406" i="22"/>
  <c r="H1404" i="22"/>
  <c r="H1402" i="22"/>
  <c r="H1400" i="22"/>
  <c r="H1398" i="22"/>
  <c r="H1396" i="22"/>
  <c r="H1394" i="22"/>
  <c r="H1392" i="22"/>
  <c r="H1390" i="22"/>
  <c r="H1388" i="22"/>
  <c r="H1386" i="22"/>
  <c r="H1384" i="22"/>
  <c r="H1382" i="22"/>
  <c r="H1380" i="22"/>
  <c r="H1378" i="22"/>
  <c r="H1376" i="22"/>
  <c r="H1374" i="22"/>
  <c r="H1372" i="22"/>
  <c r="H1370" i="22"/>
  <c r="H1365" i="22"/>
  <c r="H1363" i="22"/>
  <c r="H1346" i="22"/>
  <c r="H1321" i="22"/>
  <c r="H1297" i="22"/>
  <c r="H1276" i="22"/>
  <c r="H1255" i="22"/>
  <c r="H1235" i="22"/>
  <c r="H1212" i="22"/>
  <c r="H1186" i="22"/>
  <c r="H1167" i="22"/>
  <c r="H1147" i="22"/>
  <c r="H1125" i="22"/>
  <c r="C1103" i="22"/>
  <c r="C1127" i="22" s="1"/>
  <c r="C1149" i="22" s="1"/>
  <c r="C1169" i="22" s="1"/>
  <c r="C1188" i="22" s="1"/>
  <c r="C1214" i="22" s="1"/>
  <c r="C1237" i="22" s="1"/>
  <c r="C1257" i="22" s="1"/>
  <c r="C1278" i="22" s="1"/>
  <c r="C1299" i="22" s="1"/>
  <c r="C1323" i="22" s="1"/>
  <c r="C1348" i="22" s="1"/>
  <c r="C1365" i="22" s="1"/>
  <c r="C1370" i="22" s="1"/>
  <c r="C1372" i="22" s="1"/>
  <c r="C1374" i="22" s="1"/>
  <c r="C1376" i="22" s="1"/>
  <c r="C1378" i="22" s="1"/>
  <c r="C1380" i="22" s="1"/>
  <c r="C1382" i="22" s="1"/>
  <c r="C1384" i="22" s="1"/>
  <c r="C1386" i="22" s="1"/>
  <c r="C1388" i="22" s="1"/>
  <c r="C1390" i="22" s="1"/>
  <c r="C1392" i="22" s="1"/>
  <c r="C1394" i="22" s="1"/>
  <c r="C1396" i="22" s="1"/>
  <c r="C1398" i="22" s="1"/>
  <c r="C1400" i="22" s="1"/>
  <c r="C1402" i="22" s="1"/>
  <c r="C1404" i="22" s="1"/>
  <c r="C1406" i="22" s="1"/>
  <c r="C1408" i="22" s="1"/>
  <c r="C1410" i="22" s="1"/>
  <c r="C1412" i="22" s="1"/>
  <c r="C1414" i="22" s="1"/>
  <c r="C1416" i="22" s="1"/>
  <c r="C1418" i="22" s="1"/>
  <c r="C1420" i="22" s="1"/>
  <c r="C1422" i="22" s="1"/>
  <c r="C1424" i="22" s="1"/>
  <c r="C1426" i="22" s="1"/>
  <c r="C1428" i="22" s="1"/>
  <c r="C1430" i="22" s="1"/>
  <c r="C1432" i="22" s="1"/>
  <c r="C1434" i="22" s="1"/>
  <c r="C1436" i="22" s="1"/>
  <c r="C1438" i="22" s="1"/>
  <c r="C1440" i="22" s="1"/>
  <c r="C1442" i="22" s="1"/>
  <c r="C1444" i="22" s="1"/>
  <c r="C1452" i="22" s="1"/>
  <c r="C1454" i="22" s="1"/>
  <c r="C1464" i="22" s="1"/>
  <c r="C1468" i="22" s="1"/>
  <c r="C1474" i="22" s="1"/>
  <c r="C1476" i="22" s="1"/>
  <c r="C1478" i="22" s="1"/>
  <c r="C1480" i="22" s="1"/>
  <c r="C1482" i="22" s="1"/>
  <c r="C1484" i="22" s="1"/>
  <c r="C1486" i="22" s="1"/>
  <c r="H1101" i="22"/>
  <c r="B1040" i="22"/>
  <c r="B1103" i="22" s="1"/>
  <c r="B1127" i="22" s="1"/>
  <c r="B1149" i="22" s="1"/>
  <c r="B1169" i="22" s="1"/>
  <c r="B1188" i="22" s="1"/>
  <c r="B1214" i="22" s="1"/>
  <c r="B1237" i="22" s="1"/>
  <c r="B1257" i="22" s="1"/>
  <c r="B1278" i="22" s="1"/>
  <c r="B1299" i="22" s="1"/>
  <c r="B1323" i="22" s="1"/>
  <c r="B1348" i="22" s="1"/>
  <c r="B1365" i="22" s="1"/>
  <c r="B1370" i="22" s="1"/>
  <c r="B1372" i="22" s="1"/>
  <c r="B1374" i="22" s="1"/>
  <c r="B1376" i="22" s="1"/>
  <c r="B1378" i="22" s="1"/>
  <c r="B1380" i="22" s="1"/>
  <c r="B1382" i="22" s="1"/>
  <c r="B1384" i="22" s="1"/>
  <c r="B1386" i="22" s="1"/>
  <c r="B1388" i="22" s="1"/>
  <c r="B1390" i="22" s="1"/>
  <c r="B1392" i="22" s="1"/>
  <c r="B1394" i="22" s="1"/>
  <c r="B1396" i="22" s="1"/>
  <c r="B1398" i="22" s="1"/>
  <c r="B1400" i="22" s="1"/>
  <c r="B1402" i="22" s="1"/>
  <c r="B1404" i="22" s="1"/>
  <c r="B1406" i="22" s="1"/>
  <c r="B1408" i="22" s="1"/>
  <c r="B1410" i="22" s="1"/>
  <c r="B1412" i="22" s="1"/>
  <c r="B1414" i="22" s="1"/>
  <c r="B1416" i="22" s="1"/>
  <c r="B1418" i="22" s="1"/>
  <c r="B1420" i="22" s="1"/>
  <c r="B1422" i="22" s="1"/>
  <c r="B1424" i="22" s="1"/>
  <c r="B1426" i="22" s="1"/>
  <c r="B1428" i="22" s="1"/>
  <c r="B1430" i="22" s="1"/>
  <c r="B1432" i="22" s="1"/>
  <c r="B1434" i="22" s="1"/>
  <c r="B1436" i="22" s="1"/>
  <c r="B1438" i="22" s="1"/>
  <c r="B1440" i="22" s="1"/>
  <c r="B1442" i="22" s="1"/>
  <c r="B1444" i="22" s="1"/>
  <c r="B1452" i="22" s="1"/>
  <c r="B1454" i="22" s="1"/>
  <c r="B1464" i="22" s="1"/>
  <c r="B1468" i="22" s="1"/>
  <c r="B1474" i="22" s="1"/>
  <c r="B1476" i="22" s="1"/>
  <c r="B1478" i="22" s="1"/>
  <c r="B1480" i="22" s="1"/>
  <c r="B1482" i="22" s="1"/>
  <c r="B1484" i="22" s="1"/>
  <c r="B1486" i="22" s="1"/>
  <c r="A1037" i="22"/>
  <c r="A1040" i="22" s="1"/>
  <c r="A1103" i="22" s="1"/>
  <c r="A1127" i="22" s="1"/>
  <c r="A1149" i="22" s="1"/>
  <c r="A1169" i="22" s="1"/>
  <c r="A1188" i="22" s="1"/>
  <c r="A1214" i="22" s="1"/>
  <c r="A1237" i="22" s="1"/>
  <c r="A1257" i="22" s="1"/>
  <c r="A1278" i="22" s="1"/>
  <c r="A1299" i="22" s="1"/>
  <c r="A1323" i="22" s="1"/>
  <c r="A1348" i="22" s="1"/>
  <c r="A1365" i="22" s="1"/>
  <c r="A1370" i="22" s="1"/>
  <c r="A1372" i="22" s="1"/>
  <c r="A1374" i="22" s="1"/>
  <c r="A1376" i="22" s="1"/>
  <c r="A1378" i="22" s="1"/>
  <c r="A1380" i="22" s="1"/>
  <c r="A1382" i="22" s="1"/>
  <c r="A1384" i="22" s="1"/>
  <c r="A1386" i="22" s="1"/>
  <c r="A1388" i="22" s="1"/>
  <c r="A1390" i="22" s="1"/>
  <c r="A1392" i="22" s="1"/>
  <c r="A1394" i="22" s="1"/>
  <c r="A1396" i="22" s="1"/>
  <c r="A1398" i="22" s="1"/>
  <c r="A1400" i="22" s="1"/>
  <c r="A1402" i="22" s="1"/>
  <c r="A1404" i="22" s="1"/>
  <c r="A1406" i="22" s="1"/>
  <c r="A1408" i="22" s="1"/>
  <c r="A1410" i="22" s="1"/>
  <c r="A1412" i="22" s="1"/>
  <c r="A1414" i="22" s="1"/>
  <c r="A1416" i="22" s="1"/>
  <c r="A1418" i="22" s="1"/>
  <c r="A1420" i="22" s="1"/>
  <c r="A1422" i="22" s="1"/>
  <c r="A1424" i="22" s="1"/>
  <c r="A1426" i="22" s="1"/>
  <c r="A1428" i="22" s="1"/>
  <c r="A1430" i="22" s="1"/>
  <c r="A1432" i="22" s="1"/>
  <c r="A1434" i="22" s="1"/>
  <c r="A1436" i="22" s="1"/>
  <c r="A1438" i="22" s="1"/>
  <c r="A1440" i="22" s="1"/>
  <c r="A1442" i="22" s="1"/>
  <c r="A1444" i="22" s="1"/>
  <c r="A1452" i="22" s="1"/>
  <c r="A1454" i="22" s="1"/>
  <c r="A1464" i="22" s="1"/>
  <c r="A1468" i="22" s="1"/>
  <c r="A1474" i="22" s="1"/>
  <c r="A1476" i="22" s="1"/>
  <c r="A1478" i="22" s="1"/>
  <c r="A1480" i="22" s="1"/>
  <c r="A1482" i="22" s="1"/>
  <c r="A1484" i="22" s="1"/>
  <c r="A1486" i="22" s="1"/>
  <c r="D1034" i="22"/>
  <c r="B1034" i="22"/>
  <c r="A1034" i="22"/>
  <c r="H705" i="22"/>
  <c r="H700" i="22"/>
  <c r="H680" i="22"/>
  <c r="H660" i="22"/>
  <c r="H654" i="22"/>
  <c r="H634" i="22"/>
  <c r="H614" i="22"/>
  <c r="H608" i="22"/>
  <c r="H588" i="22"/>
  <c r="H568" i="22"/>
  <c r="H548" i="22"/>
  <c r="H528" i="22"/>
  <c r="H522" i="22"/>
  <c r="H502" i="22"/>
  <c r="H482" i="22"/>
  <c r="H463" i="22"/>
  <c r="H444" i="22"/>
  <c r="H438" i="22"/>
  <c r="H418" i="22"/>
  <c r="H399" i="22"/>
  <c r="H380" i="22"/>
  <c r="H361" i="22"/>
  <c r="H355" i="22"/>
  <c r="H335" i="22"/>
  <c r="H314" i="22"/>
  <c r="H307" i="22"/>
  <c r="H300" i="22"/>
  <c r="H293" i="22"/>
  <c r="H286" i="22"/>
  <c r="H279" i="22"/>
  <c r="H272" i="22"/>
  <c r="H265" i="22"/>
  <c r="H258" i="22"/>
  <c r="H251" i="22"/>
  <c r="H244" i="22"/>
  <c r="H237" i="22"/>
  <c r="H230" i="22"/>
  <c r="H223" i="22"/>
  <c r="H214" i="22"/>
  <c r="H213" i="22"/>
  <c r="H212" i="22"/>
  <c r="H205" i="22"/>
  <c r="H204" i="22"/>
  <c r="H203" i="22"/>
  <c r="H196" i="22"/>
  <c r="H195" i="22"/>
  <c r="H194" i="22"/>
  <c r="H193" i="22"/>
  <c r="H186" i="22"/>
  <c r="H179" i="22"/>
  <c r="H172" i="22"/>
  <c r="H165" i="22"/>
  <c r="H158" i="22"/>
  <c r="H151" i="22"/>
  <c r="H144" i="22"/>
  <c r="H137" i="22"/>
  <c r="H130" i="22"/>
  <c r="H123" i="22"/>
  <c r="H115" i="22"/>
  <c r="H108" i="22"/>
  <c r="H101" i="22"/>
  <c r="H94" i="22"/>
  <c r="H87" i="22"/>
  <c r="H80" i="22"/>
  <c r="H73" i="22"/>
  <c r="H66" i="22"/>
  <c r="H59" i="22"/>
  <c r="H52" i="22"/>
  <c r="H45" i="22"/>
  <c r="C40" i="22"/>
  <c r="C47" i="22" s="1"/>
  <c r="C54" i="22" s="1"/>
  <c r="C61" i="22" s="1"/>
  <c r="C68" i="22" s="1"/>
  <c r="C75" i="22" s="1"/>
  <c r="C82" i="22" s="1"/>
  <c r="C89" i="22" s="1"/>
  <c r="C96" i="22" s="1"/>
  <c r="C103" i="22" s="1"/>
  <c r="C110" i="22" s="1"/>
  <c r="C117" i="22" s="1"/>
  <c r="C125" i="22" s="1"/>
  <c r="C132" i="22" s="1"/>
  <c r="C139" i="22" s="1"/>
  <c r="C146" i="22" s="1"/>
  <c r="C153" i="22" s="1"/>
  <c r="C160" i="22" s="1"/>
  <c r="C167" i="22" s="1"/>
  <c r="C174" i="22" s="1"/>
  <c r="C181" i="22" s="1"/>
  <c r="C188" i="22" s="1"/>
  <c r="C198" i="22" s="1"/>
  <c r="C207" i="22" s="1"/>
  <c r="C218" i="22" s="1"/>
  <c r="C225" i="22" s="1"/>
  <c r="C232" i="22" s="1"/>
  <c r="C239" i="22" s="1"/>
  <c r="C246" i="22" s="1"/>
  <c r="C253" i="22" s="1"/>
  <c r="C260" i="22" s="1"/>
  <c r="C267" i="22" s="1"/>
  <c r="C274" i="22" s="1"/>
  <c r="C281" i="22" s="1"/>
  <c r="C288" i="22" s="1"/>
  <c r="C295" i="22" s="1"/>
  <c r="C302" i="22" s="1"/>
  <c r="C309" i="22" s="1"/>
  <c r="C318" i="22" s="1"/>
  <c r="C337" i="22" s="1"/>
  <c r="C357" i="22" s="1"/>
  <c r="C363" i="22" s="1"/>
  <c r="C382" i="22" s="1"/>
  <c r="C401" i="22" s="1"/>
  <c r="C420" i="22" s="1"/>
  <c r="C440" i="22" s="1"/>
  <c r="C446" i="22" s="1"/>
  <c r="C465" i="22" s="1"/>
  <c r="C484" i="22" s="1"/>
  <c r="C504" i="22" s="1"/>
  <c r="C524" i="22" s="1"/>
  <c r="C530" i="22" s="1"/>
  <c r="C550" i="22" s="1"/>
  <c r="C570" i="22" s="1"/>
  <c r="C590" i="22" s="1"/>
  <c r="C610" i="22" s="1"/>
  <c r="C616" i="22" s="1"/>
  <c r="C636" i="22" s="1"/>
  <c r="C656" i="22" s="1"/>
  <c r="C662" i="22" s="1"/>
  <c r="C682" i="22" s="1"/>
  <c r="C702" i="22" s="1"/>
  <c r="H38" i="22"/>
  <c r="B35" i="22"/>
  <c r="B174" i="22" s="1"/>
  <c r="A32" i="22"/>
  <c r="A35" i="22" s="1"/>
  <c r="D29" i="22"/>
  <c r="H26" i="22"/>
  <c r="H25" i="22"/>
  <c r="H24" i="22"/>
  <c r="H23" i="22"/>
  <c r="H22" i="22"/>
  <c r="H21" i="22"/>
  <c r="H20" i="22"/>
  <c r="H19" i="22"/>
  <c r="H18" i="22"/>
  <c r="B16" i="22"/>
  <c r="B29" i="22" s="1"/>
  <c r="A14" i="22"/>
  <c r="A16" i="22" s="1"/>
  <c r="A29" i="22" s="1"/>
  <c r="B132" i="22" l="1"/>
  <c r="B68" i="22"/>
  <c r="H1914" i="22"/>
  <c r="H1924" i="22" s="1"/>
  <c r="E69" i="4" s="1"/>
  <c r="H1034" i="22"/>
  <c r="H1922" i="22" s="1"/>
  <c r="E67" i="4" s="1"/>
  <c r="F1696" i="22"/>
  <c r="H1694" i="22"/>
  <c r="A40" i="22"/>
  <c r="A47" i="22"/>
  <c r="A125" i="22"/>
  <c r="A110" i="22"/>
  <c r="A146" i="22"/>
  <c r="A153" i="22"/>
  <c r="A167" i="22"/>
  <c r="A218" i="22"/>
  <c r="A225" i="22"/>
  <c r="A232" i="22" s="1"/>
  <c r="A239" i="22" s="1"/>
  <c r="A246" i="22" s="1"/>
  <c r="A253" i="22" s="1"/>
  <c r="A260" i="22" s="1"/>
  <c r="A267" i="22" s="1"/>
  <c r="A274" i="22" s="1"/>
  <c r="A281" i="22" s="1"/>
  <c r="A288" i="22" s="1"/>
  <c r="A295" i="22" s="1"/>
  <c r="A302" i="22" s="1"/>
  <c r="A309" i="22" s="1"/>
  <c r="A82" i="22"/>
  <c r="A89" i="22"/>
  <c r="A61" i="22"/>
  <c r="A68" i="22"/>
  <c r="A188" i="22"/>
  <c r="A103" i="22"/>
  <c r="A132" i="22"/>
  <c r="A174" i="22"/>
  <c r="A198" i="22"/>
  <c r="A207" i="22"/>
  <c r="A181" i="22"/>
  <c r="A1488" i="22"/>
  <c r="A1492" i="22" s="1"/>
  <c r="A1494" i="22" s="1"/>
  <c r="A1496" i="22" s="1"/>
  <c r="A1499" i="22" s="1"/>
  <c r="A1501" i="22" s="1"/>
  <c r="A1503" i="22" s="1"/>
  <c r="A1505" i="22" s="1"/>
  <c r="A1507" i="22" s="1"/>
  <c r="A1509" i="22" s="1"/>
  <c r="A1511" i="22" s="1"/>
  <c r="A1513" i="22" s="1"/>
  <c r="A1515" i="22" s="1"/>
  <c r="A1517" i="22" s="1"/>
  <c r="A1519" i="22" s="1"/>
  <c r="A1521" i="22" s="1"/>
  <c r="A1523" i="22" s="1"/>
  <c r="A1525" i="22" s="1"/>
  <c r="A1527" i="22" s="1"/>
  <c r="A1529" i="22" s="1"/>
  <c r="A1531" i="22" s="1"/>
  <c r="A1533" i="22" s="1"/>
  <c r="A1535" i="22" s="1"/>
  <c r="A1537" i="22" s="1"/>
  <c r="A1539" i="22" s="1"/>
  <c r="A1541" i="22" s="1"/>
  <c r="A1543" i="22" s="1"/>
  <c r="A1545" i="22" s="1"/>
  <c r="A1547" i="22" s="1"/>
  <c r="A1549" i="22" s="1"/>
  <c r="A1551" i="22" s="1"/>
  <c r="A1553" i="22" s="1"/>
  <c r="A1555" i="22" s="1"/>
  <c r="A1557" i="22" s="1"/>
  <c r="A1559" i="22" s="1"/>
  <c r="A1561" i="22" s="1"/>
  <c r="A1563" i="22" s="1"/>
  <c r="A1565" i="22" s="1"/>
  <c r="A1567" i="22" s="1"/>
  <c r="A1569" i="22" s="1"/>
  <c r="A1572" i="22" s="1"/>
  <c r="A1574" i="22" s="1"/>
  <c r="A1576" i="22" s="1"/>
  <c r="A1583" i="22" s="1"/>
  <c r="A1590" i="22" s="1"/>
  <c r="A1594" i="22" s="1"/>
  <c r="A1596" i="22" s="1"/>
  <c r="A1598" i="22" s="1"/>
  <c r="A1600" i="22" s="1"/>
  <c r="A1602" i="22" s="1"/>
  <c r="A1605" i="22" s="1"/>
  <c r="A1607" i="22" s="1"/>
  <c r="A1609" i="22" s="1"/>
  <c r="A1616" i="22" s="1"/>
  <c r="A1618" i="22" s="1"/>
  <c r="A1620" i="22" s="1"/>
  <c r="A1622" i="22" s="1"/>
  <c r="A1624" i="22" s="1"/>
  <c r="A1627" i="22" s="1"/>
  <c r="A1644" i="22" s="1"/>
  <c r="A1660" i="22" s="1"/>
  <c r="A1676" i="22" s="1"/>
  <c r="A1692" i="22" s="1"/>
  <c r="A1694" i="22" s="1"/>
  <c r="A1696" i="22" s="1"/>
  <c r="A1698" i="22" s="1"/>
  <c r="A1700" i="22" s="1"/>
  <c r="A1702" i="22" s="1"/>
  <c r="A1704" i="22" s="1"/>
  <c r="A1706" i="22" s="1"/>
  <c r="A1710" i="22" s="1"/>
  <c r="A1715" i="22" s="1"/>
  <c r="A1720" i="22" s="1"/>
  <c r="A1725" i="22" s="1"/>
  <c r="A1729" i="22" s="1"/>
  <c r="A1733" i="22" s="1"/>
  <c r="A1737" i="22" s="1"/>
  <c r="A1741" i="22" s="1"/>
  <c r="A1745" i="22" s="1"/>
  <c r="A1749" i="22" s="1"/>
  <c r="A1753" i="22" s="1"/>
  <c r="A1490" i="22"/>
  <c r="C1490" i="22"/>
  <c r="C1488" i="22"/>
  <c r="C1492" i="22" s="1"/>
  <c r="C1494" i="22" s="1"/>
  <c r="C1496" i="22" s="1"/>
  <c r="C1499" i="22" s="1"/>
  <c r="C1501" i="22" s="1"/>
  <c r="C1503" i="22" s="1"/>
  <c r="C1505" i="22" s="1"/>
  <c r="C1507" i="22" s="1"/>
  <c r="C1509" i="22" s="1"/>
  <c r="C1511" i="22" s="1"/>
  <c r="C1513" i="22" s="1"/>
  <c r="C1515" i="22" s="1"/>
  <c r="C1517" i="22" s="1"/>
  <c r="C1519" i="22" s="1"/>
  <c r="C1521" i="22" s="1"/>
  <c r="C1523" i="22" s="1"/>
  <c r="C1525" i="22" s="1"/>
  <c r="C1527" i="22" s="1"/>
  <c r="C1529" i="22" s="1"/>
  <c r="C1531" i="22" s="1"/>
  <c r="C1533" i="22" s="1"/>
  <c r="C1535" i="22" s="1"/>
  <c r="C1537" i="22" s="1"/>
  <c r="C1539" i="22" s="1"/>
  <c r="C1541" i="22" s="1"/>
  <c r="C1543" i="22" s="1"/>
  <c r="C1545" i="22" s="1"/>
  <c r="C1547" i="22" s="1"/>
  <c r="C1549" i="22" s="1"/>
  <c r="C1551" i="22" s="1"/>
  <c r="C1553" i="22" s="1"/>
  <c r="C1555" i="22" s="1"/>
  <c r="C1557" i="22" s="1"/>
  <c r="C1559" i="22" s="1"/>
  <c r="C1561" i="22" s="1"/>
  <c r="C1563" i="22" s="1"/>
  <c r="C1565" i="22" s="1"/>
  <c r="C1567" i="22" s="1"/>
  <c r="C1569" i="22" s="1"/>
  <c r="C1572" i="22" s="1"/>
  <c r="C1574" i="22" s="1"/>
  <c r="C1576" i="22" s="1"/>
  <c r="C1583" i="22" s="1"/>
  <c r="C1590" i="22" s="1"/>
  <c r="C1594" i="22" s="1"/>
  <c r="C1596" i="22" s="1"/>
  <c r="C1598" i="22" s="1"/>
  <c r="C1600" i="22" s="1"/>
  <c r="C1602" i="22" s="1"/>
  <c r="C1605" i="22" s="1"/>
  <c r="C1607" i="22" s="1"/>
  <c r="C1609" i="22" s="1"/>
  <c r="C1616" i="22" s="1"/>
  <c r="C1618" i="22" s="1"/>
  <c r="C1620" i="22" s="1"/>
  <c r="C1622" i="22" s="1"/>
  <c r="C1624" i="22" s="1"/>
  <c r="C1627" i="22" s="1"/>
  <c r="C1644" i="22" s="1"/>
  <c r="C1660" i="22" s="1"/>
  <c r="C1676" i="22" s="1"/>
  <c r="C1692" i="22" s="1"/>
  <c r="C1694" i="22" s="1"/>
  <c r="C1696" i="22" s="1"/>
  <c r="C1698" i="22" s="1"/>
  <c r="C1700" i="22" s="1"/>
  <c r="C1702" i="22" s="1"/>
  <c r="C1704" i="22" s="1"/>
  <c r="C1706" i="22" s="1"/>
  <c r="C1710" i="22" s="1"/>
  <c r="C1715" i="22" s="1"/>
  <c r="C1720" i="22" s="1"/>
  <c r="C1725" i="22" s="1"/>
  <c r="C1729" i="22" s="1"/>
  <c r="C1733" i="22" s="1"/>
  <c r="C1737" i="22" s="1"/>
  <c r="C1741" i="22" s="1"/>
  <c r="C1745" i="22" s="1"/>
  <c r="C1749" i="22" s="1"/>
  <c r="C1753" i="22" s="1"/>
  <c r="C1755" i="22" s="1"/>
  <c r="C1759" i="22" s="1"/>
  <c r="C1762" i="22" s="1"/>
  <c r="C1767" i="22" s="1"/>
  <c r="C1769" i="22" s="1"/>
  <c r="C1771" i="22" s="1"/>
  <c r="C1773" i="22" s="1"/>
  <c r="C1775" i="22" s="1"/>
  <c r="C1777" i="22" s="1"/>
  <c r="C1779" i="22" s="1"/>
  <c r="C1781" i="22" s="1"/>
  <c r="C1783" i="22" s="1"/>
  <c r="C1785" i="22" s="1"/>
  <c r="C1787" i="22" s="1"/>
  <c r="C1789" i="22" s="1"/>
  <c r="C1791" i="22" s="1"/>
  <c r="C1793" i="22" s="1"/>
  <c r="C1795" i="22" s="1"/>
  <c r="C1797" i="22" s="1"/>
  <c r="C1800" i="22" s="1"/>
  <c r="C1802" i="22" s="1"/>
  <c r="C1804" i="22" s="1"/>
  <c r="C1807" i="22" s="1"/>
  <c r="C1810" i="22" s="1"/>
  <c r="C1813" i="22" s="1"/>
  <c r="C1815" i="22" s="1"/>
  <c r="C1817" i="22" s="1"/>
  <c r="C1827" i="22" s="1"/>
  <c r="C1829" i="22" s="1"/>
  <c r="C1831" i="22" s="1"/>
  <c r="C1834" i="22" s="1"/>
  <c r="C1836" i="22" s="1"/>
  <c r="C1838" i="22" s="1"/>
  <c r="B1488" i="22"/>
  <c r="B1492" i="22" s="1"/>
  <c r="B1494" i="22" s="1"/>
  <c r="B1496" i="22" s="1"/>
  <c r="B1499" i="22" s="1"/>
  <c r="B1501" i="22" s="1"/>
  <c r="B1503" i="22" s="1"/>
  <c r="B1505" i="22" s="1"/>
  <c r="B1507" i="22" s="1"/>
  <c r="B1509" i="22" s="1"/>
  <c r="B1511" i="22" s="1"/>
  <c r="B1513" i="22" s="1"/>
  <c r="B1515" i="22" s="1"/>
  <c r="B1517" i="22" s="1"/>
  <c r="B1519" i="22" s="1"/>
  <c r="B1521" i="22" s="1"/>
  <c r="B1523" i="22" s="1"/>
  <c r="B1525" i="22" s="1"/>
  <c r="B1527" i="22" s="1"/>
  <c r="B1529" i="22" s="1"/>
  <c r="B1531" i="22" s="1"/>
  <c r="B1533" i="22" s="1"/>
  <c r="B1535" i="22" s="1"/>
  <c r="B1537" i="22" s="1"/>
  <c r="B1539" i="22" s="1"/>
  <c r="B1541" i="22" s="1"/>
  <c r="B1543" i="22" s="1"/>
  <c r="B1545" i="22" s="1"/>
  <c r="B1547" i="22" s="1"/>
  <c r="B1549" i="22" s="1"/>
  <c r="B1551" i="22" s="1"/>
  <c r="B1553" i="22" s="1"/>
  <c r="B1555" i="22" s="1"/>
  <c r="B1557" i="22" s="1"/>
  <c r="B1559" i="22" s="1"/>
  <c r="B1561" i="22" s="1"/>
  <c r="B1563" i="22" s="1"/>
  <c r="B1565" i="22" s="1"/>
  <c r="B1567" i="22" s="1"/>
  <c r="B1569" i="22" s="1"/>
  <c r="B1572" i="22" s="1"/>
  <c r="B1574" i="22" s="1"/>
  <c r="B1576" i="22" s="1"/>
  <c r="B1583" i="22" s="1"/>
  <c r="B1590" i="22" s="1"/>
  <c r="B1594" i="22" s="1"/>
  <c r="B1596" i="22" s="1"/>
  <c r="B1598" i="22" s="1"/>
  <c r="B1600" i="22" s="1"/>
  <c r="B1602" i="22" s="1"/>
  <c r="B1605" i="22" s="1"/>
  <c r="B1607" i="22" s="1"/>
  <c r="B1609" i="22" s="1"/>
  <c r="B1616" i="22" s="1"/>
  <c r="B1618" i="22" s="1"/>
  <c r="B1620" i="22" s="1"/>
  <c r="B1622" i="22" s="1"/>
  <c r="B1624" i="22" s="1"/>
  <c r="B1627" i="22" s="1"/>
  <c r="B1644" i="22" s="1"/>
  <c r="B1660" i="22" s="1"/>
  <c r="B1676" i="22" s="1"/>
  <c r="B1692" i="22" s="1"/>
  <c r="B1694" i="22" s="1"/>
  <c r="B1696" i="22" s="1"/>
  <c r="B1698" i="22" s="1"/>
  <c r="B1700" i="22" s="1"/>
  <c r="B1702" i="22" s="1"/>
  <c r="B1704" i="22" s="1"/>
  <c r="B1706" i="22" s="1"/>
  <c r="B1710" i="22" s="1"/>
  <c r="B1715" i="22" s="1"/>
  <c r="B1720" i="22" s="1"/>
  <c r="B1725" i="22" s="1"/>
  <c r="B1729" i="22" s="1"/>
  <c r="B1733" i="22" s="1"/>
  <c r="B1737" i="22" s="1"/>
  <c r="B1741" i="22" s="1"/>
  <c r="B1745" i="22" s="1"/>
  <c r="B1749" i="22" s="1"/>
  <c r="B1753" i="22" s="1"/>
  <c r="B1490" i="22"/>
  <c r="B218" i="22"/>
  <c r="B207" i="22"/>
  <c r="B198" i="22"/>
  <c r="B167" i="22"/>
  <c r="B146" i="22"/>
  <c r="B125" i="22"/>
  <c r="B82" i="22"/>
  <c r="B61" i="22"/>
  <c r="B188" i="22"/>
  <c r="B103" i="22"/>
  <c r="B181" i="22"/>
  <c r="B160" i="22"/>
  <c r="B139" i="22"/>
  <c r="B117" i="22"/>
  <c r="B96" i="22"/>
  <c r="B75" i="22"/>
  <c r="B54" i="22"/>
  <c r="B40" i="22"/>
  <c r="B225" i="22"/>
  <c r="B232" i="22" s="1"/>
  <c r="B239" i="22" s="1"/>
  <c r="B246" i="22" s="1"/>
  <c r="B253" i="22" s="1"/>
  <c r="B260" i="22" s="1"/>
  <c r="B267" i="22" s="1"/>
  <c r="B274" i="22" s="1"/>
  <c r="B281" i="22" s="1"/>
  <c r="B288" i="22" s="1"/>
  <c r="B295" i="22" s="1"/>
  <c r="B302" i="22" s="1"/>
  <c r="B309" i="22" s="1"/>
  <c r="B47" i="22"/>
  <c r="B153" i="22"/>
  <c r="B89" i="22"/>
  <c r="H1424" i="22"/>
  <c r="F1426" i="22"/>
  <c r="H1426" i="22" s="1"/>
  <c r="H29" i="22"/>
  <c r="H1921" i="22" s="1"/>
  <c r="E66" i="4" s="1"/>
  <c r="B110" i="22"/>
  <c r="B318" i="22"/>
  <c r="B337" i="22" s="1"/>
  <c r="B357" i="22" s="1"/>
  <c r="B363" i="22" s="1"/>
  <c r="B382" i="22" s="1"/>
  <c r="B401" i="22" s="1"/>
  <c r="B420" i="22" s="1"/>
  <c r="B440" i="22" s="1"/>
  <c r="B446" i="22" s="1"/>
  <c r="B465" i="22" s="1"/>
  <c r="B484" i="22" s="1"/>
  <c r="B504" i="22" s="1"/>
  <c r="B524" i="22" s="1"/>
  <c r="B530" i="22" s="1"/>
  <c r="B550" i="22" s="1"/>
  <c r="B570" i="22" s="1"/>
  <c r="B590" i="22" s="1"/>
  <c r="B610" i="22" s="1"/>
  <c r="B616" i="22" s="1"/>
  <c r="B636" i="22" s="1"/>
  <c r="B656" i="22" s="1"/>
  <c r="B662" i="22" s="1"/>
  <c r="B682" i="22" s="1"/>
  <c r="B702" i="22" s="1"/>
  <c r="A318" i="22"/>
  <c r="A337" i="22" s="1"/>
  <c r="A357" i="22" s="1"/>
  <c r="A363" i="22" s="1"/>
  <c r="A382" i="22" s="1"/>
  <c r="A401" i="22" s="1"/>
  <c r="A420" i="22" s="1"/>
  <c r="A440" i="22" s="1"/>
  <c r="A446" i="22" s="1"/>
  <c r="A465" i="22" s="1"/>
  <c r="A484" i="22" s="1"/>
  <c r="A504" i="22" s="1"/>
  <c r="A524" i="22" s="1"/>
  <c r="A530" i="22" s="1"/>
  <c r="A550" i="22" s="1"/>
  <c r="A570" i="22" s="1"/>
  <c r="A590" i="22" s="1"/>
  <c r="A610" i="22" s="1"/>
  <c r="A616" i="22" s="1"/>
  <c r="A636" i="22" s="1"/>
  <c r="A656" i="22" s="1"/>
  <c r="A662" i="22" s="1"/>
  <c r="A682" i="22" s="1"/>
  <c r="A702" i="22" s="1"/>
  <c r="A54" i="22"/>
  <c r="A75" i="22"/>
  <c r="A96" i="22"/>
  <c r="A117" i="22"/>
  <c r="A139" i="22"/>
  <c r="A160" i="22"/>
  <c r="F1698" i="22" l="1"/>
  <c r="H1698" i="22" s="1"/>
  <c r="H1696" i="22"/>
  <c r="H1840" i="22" s="1"/>
  <c r="H1923" i="22" s="1"/>
  <c r="B1759" i="22"/>
  <c r="B1755" i="22"/>
  <c r="B1762" i="22" s="1"/>
  <c r="B1767" i="22" s="1"/>
  <c r="B1769" i="22" s="1"/>
  <c r="B1771" i="22" s="1"/>
  <c r="B1773" i="22" s="1"/>
  <c r="B1775" i="22" s="1"/>
  <c r="B1777" i="22" s="1"/>
  <c r="B1779" i="22" s="1"/>
  <c r="B1781" i="22" s="1"/>
  <c r="B1783" i="22" s="1"/>
  <c r="B1785" i="22" s="1"/>
  <c r="B1787" i="22" s="1"/>
  <c r="B1789" i="22" s="1"/>
  <c r="B1791" i="22" s="1"/>
  <c r="B1793" i="22" s="1"/>
  <c r="B1795" i="22" s="1"/>
  <c r="B1797" i="22" s="1"/>
  <c r="B1800" i="22" s="1"/>
  <c r="B1802" i="22" s="1"/>
  <c r="B1804" i="22" s="1"/>
  <c r="B1807" i="22" s="1"/>
  <c r="B1810" i="22" s="1"/>
  <c r="B1813" i="22" s="1"/>
  <c r="B1815" i="22" s="1"/>
  <c r="B1817" i="22" s="1"/>
  <c r="B1827" i="22" s="1"/>
  <c r="B1829" i="22" s="1"/>
  <c r="B1831" i="22" s="1"/>
  <c r="B1834" i="22" s="1"/>
  <c r="B1836" i="22" s="1"/>
  <c r="B1838" i="22" s="1"/>
  <c r="A1755" i="22"/>
  <c r="A1762" i="22" s="1"/>
  <c r="A1767" i="22" s="1"/>
  <c r="A1769" i="22" s="1"/>
  <c r="A1771" i="22" s="1"/>
  <c r="A1773" i="22" s="1"/>
  <c r="A1775" i="22" s="1"/>
  <c r="A1777" i="22" s="1"/>
  <c r="A1779" i="22" s="1"/>
  <c r="A1781" i="22" s="1"/>
  <c r="A1783" i="22" s="1"/>
  <c r="A1785" i="22" s="1"/>
  <c r="A1787" i="22" s="1"/>
  <c r="A1789" i="22" s="1"/>
  <c r="A1791" i="22" s="1"/>
  <c r="A1793" i="22" s="1"/>
  <c r="A1795" i="22" s="1"/>
  <c r="A1797" i="22" s="1"/>
  <c r="A1800" i="22" s="1"/>
  <c r="A1802" i="22" s="1"/>
  <c r="A1804" i="22" s="1"/>
  <c r="A1807" i="22" s="1"/>
  <c r="A1810" i="22" s="1"/>
  <c r="A1813" i="22" s="1"/>
  <c r="A1815" i="22" s="1"/>
  <c r="A1817" i="22" s="1"/>
  <c r="A1827" i="22" s="1"/>
  <c r="A1829" i="22" s="1"/>
  <c r="A1831" i="22" s="1"/>
  <c r="A1834" i="22" s="1"/>
  <c r="A1836" i="22" s="1"/>
  <c r="A1838" i="22" s="1"/>
  <c r="A1759" i="22"/>
  <c r="E68" i="4" l="1"/>
  <c r="E70" i="4" s="1"/>
  <c r="E94" i="4" s="1"/>
  <c r="H1926" i="22"/>
  <c r="B40" i="4"/>
  <c r="A11" i="7"/>
  <c r="A46" i="7" s="1"/>
  <c r="A79" i="7" s="1"/>
  <c r="A120" i="7" s="1"/>
  <c r="F426" i="2"/>
  <c r="F427" i="2"/>
  <c r="D425" i="2"/>
  <c r="F424" i="2"/>
  <c r="F428" i="2"/>
  <c r="F429" i="2"/>
  <c r="D977" i="2"/>
  <c r="F838" i="2"/>
  <c r="F839" i="2"/>
  <c r="F837" i="2"/>
  <c r="F836" i="2"/>
  <c r="F835" i="2"/>
  <c r="F834" i="2"/>
  <c r="F833" i="2"/>
  <c r="F832" i="2"/>
  <c r="F831" i="2"/>
  <c r="F830" i="2"/>
  <c r="F829" i="2"/>
  <c r="A132" i="7" l="1"/>
  <c r="A137" i="7" s="1"/>
  <c r="A219" i="7" s="1"/>
  <c r="F135" i="19"/>
  <c r="F134" i="19"/>
  <c r="F133" i="19"/>
  <c r="F127" i="19"/>
  <c r="F121" i="19"/>
  <c r="F116" i="19"/>
  <c r="F110" i="19"/>
  <c r="F105" i="19"/>
  <c r="F100" i="19"/>
  <c r="F95" i="19"/>
  <c r="F94" i="19"/>
  <c r="F90" i="19"/>
  <c r="F89" i="19"/>
  <c r="F83" i="19"/>
  <c r="F78" i="19"/>
  <c r="F73" i="19"/>
  <c r="F67" i="19"/>
  <c r="F62" i="19"/>
  <c r="F57" i="19"/>
  <c r="F56" i="19"/>
  <c r="F52" i="19"/>
  <c r="F51" i="19"/>
  <c r="F47" i="19"/>
  <c r="F46" i="19"/>
  <c r="F42" i="19"/>
  <c r="F41" i="19"/>
  <c r="F32" i="19"/>
  <c r="F31" i="19"/>
  <c r="F22" i="19"/>
  <c r="F21" i="19"/>
  <c r="F17" i="19"/>
  <c r="F16" i="19"/>
  <c r="F12" i="19"/>
  <c r="F11" i="19"/>
  <c r="F134" i="18"/>
  <c r="F130" i="18"/>
  <c r="F126" i="18"/>
  <c r="F122" i="18"/>
  <c r="F121" i="18"/>
  <c r="F120" i="18"/>
  <c r="F114" i="18"/>
  <c r="F113" i="18"/>
  <c r="F112" i="18"/>
  <c r="F110" i="18"/>
  <c r="F109" i="18"/>
  <c r="F108" i="18"/>
  <c r="F107" i="18"/>
  <c r="F103" i="18"/>
  <c r="F99" i="18"/>
  <c r="F98" i="18"/>
  <c r="F94" i="18"/>
  <c r="F90" i="18"/>
  <c r="F86" i="18"/>
  <c r="F82" i="18"/>
  <c r="F78" i="18"/>
  <c r="F74" i="18"/>
  <c r="F69" i="18"/>
  <c r="F68" i="18"/>
  <c r="F67" i="18"/>
  <c r="F66" i="18"/>
  <c r="F62" i="18"/>
  <c r="F61" i="18"/>
  <c r="F60" i="18"/>
  <c r="F56" i="18"/>
  <c r="F55" i="18"/>
  <c r="F54" i="18"/>
  <c r="F53" i="18"/>
  <c r="F49" i="18"/>
  <c r="F48" i="18"/>
  <c r="F47" i="18"/>
  <c r="F46" i="18"/>
  <c r="F42" i="18"/>
  <c r="F38" i="18"/>
  <c r="F34" i="18"/>
  <c r="F30" i="18"/>
  <c r="F26" i="18"/>
  <c r="F22" i="18"/>
  <c r="F18" i="18"/>
  <c r="F17" i="18"/>
  <c r="F16" i="18"/>
  <c r="F15" i="18"/>
  <c r="F10" i="18"/>
  <c r="F136" i="17"/>
  <c r="F132" i="17"/>
  <c r="F128" i="17"/>
  <c r="F124" i="17"/>
  <c r="F120" i="17"/>
  <c r="F116" i="17"/>
  <c r="F112" i="17"/>
  <c r="F111" i="17"/>
  <c r="F110" i="17"/>
  <c r="F109" i="17"/>
  <c r="F105" i="17"/>
  <c r="F104" i="17"/>
  <c r="F103" i="17"/>
  <c r="F102" i="17"/>
  <c r="F101" i="17"/>
  <c r="F100" i="17"/>
  <c r="F94" i="17"/>
  <c r="F88" i="17"/>
  <c r="F82" i="17"/>
  <c r="F78" i="17"/>
  <c r="F77" i="17"/>
  <c r="F73" i="17"/>
  <c r="F69" i="17"/>
  <c r="F68" i="17"/>
  <c r="F67" i="17"/>
  <c r="F66" i="17"/>
  <c r="F62" i="17"/>
  <c r="F58" i="17"/>
  <c r="F53" i="17"/>
  <c r="F52" i="17"/>
  <c r="F51" i="17"/>
  <c r="F50" i="17"/>
  <c r="F49" i="17"/>
  <c r="F44" i="17"/>
  <c r="F43" i="17"/>
  <c r="F42" i="17"/>
  <c r="F41" i="17"/>
  <c r="F40" i="17"/>
  <c r="F39" i="17"/>
  <c r="F32" i="17"/>
  <c r="F31" i="17"/>
  <c r="F30" i="17"/>
  <c r="F25" i="17"/>
  <c r="F20" i="17"/>
  <c r="F19" i="17"/>
  <c r="F15" i="17"/>
  <c r="F14" i="17"/>
  <c r="F13" i="17"/>
  <c r="F8" i="17"/>
  <c r="F138" i="17" s="1"/>
  <c r="F8" i="15" s="1"/>
  <c r="E46" i="4" s="1"/>
  <c r="F60" i="16"/>
  <c r="F57" i="16"/>
  <c r="F47" i="16"/>
  <c r="F43" i="16"/>
  <c r="F38" i="16"/>
  <c r="F33" i="16"/>
  <c r="F28" i="16"/>
  <c r="F23" i="16"/>
  <c r="F18" i="16"/>
  <c r="F13" i="16"/>
  <c r="F8" i="16"/>
  <c r="B12" i="15"/>
  <c r="B10" i="15"/>
  <c r="B8" i="15"/>
  <c r="F301" i="13"/>
  <c r="F300" i="13"/>
  <c r="F299" i="13"/>
  <c r="F298" i="13"/>
  <c r="F297" i="13"/>
  <c r="F296" i="13"/>
  <c r="F295" i="13"/>
  <c r="F294" i="13"/>
  <c r="F293" i="13"/>
  <c r="F292" i="13"/>
  <c r="F291" i="13"/>
  <c r="F290" i="13"/>
  <c r="F289"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17" i="13"/>
  <c r="F216" i="13"/>
  <c r="F215" i="13"/>
  <c r="F214" i="13"/>
  <c r="F213" i="13"/>
  <c r="F212" i="13"/>
  <c r="F211" i="13"/>
  <c r="F210" i="13"/>
  <c r="F209" i="13"/>
  <c r="F208" i="13"/>
  <c r="F207" i="13"/>
  <c r="F206" i="13"/>
  <c r="F205"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36" i="18" l="1"/>
  <c r="F10" i="15" s="1"/>
  <c r="E47" i="4" s="1"/>
  <c r="F137" i="19"/>
  <c r="F12" i="15" s="1"/>
  <c r="E48" i="4" s="1"/>
  <c r="A222" i="7"/>
  <c r="A227" i="7" s="1"/>
  <c r="F62" i="16"/>
  <c r="F6" i="15" s="1"/>
  <c r="E45" i="4" s="1"/>
  <c r="F303" i="13"/>
  <c r="F316" i="13" s="1"/>
  <c r="F286" i="13"/>
  <c r="F314" i="13" s="1"/>
  <c r="E58" i="4" s="1"/>
  <c r="F246" i="13"/>
  <c r="F312" i="13" s="1"/>
  <c r="E57" i="4" s="1"/>
  <c r="F219" i="13"/>
  <c r="F310" i="13" s="1"/>
  <c r="E56" i="4" s="1"/>
  <c r="F202" i="13"/>
  <c r="F308" i="13" s="1"/>
  <c r="E55" i="4" s="1"/>
  <c r="F29" i="12"/>
  <c r="F27" i="12"/>
  <c r="F21" i="12"/>
  <c r="F19" i="12"/>
  <c r="F17" i="15" l="1"/>
  <c r="F19" i="15" s="1"/>
  <c r="F23" i="15" s="1"/>
  <c r="E49" i="4"/>
  <c r="E90" i="4" s="1"/>
  <c r="F31" i="12"/>
  <c r="E63" i="4" s="1"/>
  <c r="E93" i="4" s="1"/>
  <c r="A234" i="7"/>
  <c r="E59" i="4"/>
  <c r="E60" i="4" s="1"/>
  <c r="E92" i="4" s="1"/>
  <c r="F318" i="13"/>
  <c r="G100" i="11"/>
  <c r="C1043" i="11"/>
  <c r="C1036" i="11"/>
  <c r="G1022" i="11"/>
  <c r="G1024" i="11" s="1"/>
  <c r="G1014" i="11"/>
  <c r="G1011" i="11"/>
  <c r="G1008" i="11"/>
  <c r="G1005" i="11"/>
  <c r="G1002" i="11"/>
  <c r="G994" i="11"/>
  <c r="G991" i="11"/>
  <c r="G988" i="11"/>
  <c r="G980" i="11"/>
  <c r="G982" i="11" s="1"/>
  <c r="G977" i="11"/>
  <c r="G969" i="11"/>
  <c r="G966" i="11"/>
  <c r="G963" i="11"/>
  <c r="G960" i="11"/>
  <c r="G957" i="11"/>
  <c r="G954" i="11"/>
  <c r="G946" i="11"/>
  <c r="G943" i="11"/>
  <c r="G940" i="11"/>
  <c r="G937" i="11"/>
  <c r="G934" i="11"/>
  <c r="G931" i="11"/>
  <c r="G923" i="11"/>
  <c r="G920" i="11"/>
  <c r="E917" i="11"/>
  <c r="G917" i="11" s="1"/>
  <c r="G914" i="11"/>
  <c r="C895" i="11"/>
  <c r="C1042" i="11" s="1"/>
  <c r="G892" i="11"/>
  <c r="G895" i="11" s="1"/>
  <c r="E1042" i="11" s="1"/>
  <c r="C876" i="11"/>
  <c r="E874" i="11"/>
  <c r="G874" i="11" s="1"/>
  <c r="G876" i="11" s="1"/>
  <c r="C860" i="11"/>
  <c r="C1040" i="11" s="1"/>
  <c r="E847" i="11"/>
  <c r="G847" i="11" s="1"/>
  <c r="E837" i="11"/>
  <c r="G837" i="11" s="1"/>
  <c r="E810" i="11"/>
  <c r="E857" i="11" s="1"/>
  <c r="G857" i="11" s="1"/>
  <c r="E795" i="11"/>
  <c r="G795" i="11" s="1"/>
  <c r="E787" i="11"/>
  <c r="E786" i="11"/>
  <c r="E785" i="11"/>
  <c r="E780" i="11"/>
  <c r="C773" i="11"/>
  <c r="C1039" i="11" s="1"/>
  <c r="E771" i="11"/>
  <c r="G771" i="11" s="1"/>
  <c r="E761" i="11"/>
  <c r="G761" i="11" s="1"/>
  <c r="C749" i="11"/>
  <c r="C1038" i="11" s="1"/>
  <c r="E747" i="11"/>
  <c r="G747" i="11" s="1"/>
  <c r="E737" i="11"/>
  <c r="G737" i="11" s="1"/>
  <c r="E733" i="11"/>
  <c r="G733" i="11" s="1"/>
  <c r="G728" i="11"/>
  <c r="G722" i="11"/>
  <c r="C715" i="11"/>
  <c r="C1037" i="11" s="1"/>
  <c r="E693" i="11"/>
  <c r="E692" i="11"/>
  <c r="E700" i="11" s="1"/>
  <c r="E707" i="11" s="1"/>
  <c r="C674" i="11"/>
  <c r="G671" i="11"/>
  <c r="E664" i="11"/>
  <c r="G664" i="11" s="1"/>
  <c r="E654" i="11"/>
  <c r="G654" i="11" s="1"/>
  <c r="C642" i="11"/>
  <c r="C1035" i="11" s="1"/>
  <c r="E639" i="11"/>
  <c r="G639" i="11" s="1"/>
  <c r="E628" i="11"/>
  <c r="G628" i="11" s="1"/>
  <c r="E609" i="11"/>
  <c r="E612" i="11" s="1"/>
  <c r="G612" i="11" s="1"/>
  <c r="E608" i="11"/>
  <c r="G601" i="11"/>
  <c r="E600" i="11"/>
  <c r="G600" i="11" s="1"/>
  <c r="E589" i="11"/>
  <c r="G589" i="11" s="1"/>
  <c r="E575" i="11"/>
  <c r="E574" i="11"/>
  <c r="E573" i="11"/>
  <c r="E572" i="11"/>
  <c r="E576" i="11" s="1"/>
  <c r="G576" i="11" s="1"/>
  <c r="E567" i="11"/>
  <c r="G567" i="11" s="1"/>
  <c r="G566" i="11"/>
  <c r="G561" i="11"/>
  <c r="G560" i="11"/>
  <c r="G559" i="11"/>
  <c r="E545" i="11"/>
  <c r="G545" i="11" s="1"/>
  <c r="E541" i="11"/>
  <c r="G541" i="11" s="1"/>
  <c r="E536" i="11"/>
  <c r="E535" i="11"/>
  <c r="E534" i="11"/>
  <c r="E533" i="11"/>
  <c r="E528" i="11"/>
  <c r="G528" i="11" s="1"/>
  <c r="G523" i="11"/>
  <c r="G522" i="11"/>
  <c r="G521" i="11"/>
  <c r="E506" i="11"/>
  <c r="E507" i="11" s="1"/>
  <c r="G507" i="11" s="1"/>
  <c r="E498" i="11"/>
  <c r="E496" i="11"/>
  <c r="E490" i="11"/>
  <c r="E488" i="11"/>
  <c r="E491" i="11" s="1"/>
  <c r="G491" i="11" s="1"/>
  <c r="E477" i="11"/>
  <c r="G477" i="11" s="1"/>
  <c r="E472" i="11"/>
  <c r="G472" i="11" s="1"/>
  <c r="E461" i="11"/>
  <c r="G461" i="11" s="1"/>
  <c r="C454" i="11"/>
  <c r="C1034" i="11" s="1"/>
  <c r="E450" i="11"/>
  <c r="E449" i="11"/>
  <c r="E446" i="11"/>
  <c r="E445" i="11"/>
  <c r="E451" i="11" s="1"/>
  <c r="G451" i="11" s="1"/>
  <c r="G423" i="11"/>
  <c r="E410" i="11"/>
  <c r="G410" i="11" s="1"/>
  <c r="G409" i="11"/>
  <c r="G398" i="11"/>
  <c r="G397" i="11"/>
  <c r="C372" i="11"/>
  <c r="C1033" i="11" s="1"/>
  <c r="E367" i="11"/>
  <c r="E357" i="11"/>
  <c r="E345" i="11"/>
  <c r="E344" i="11"/>
  <c r="E348" i="11" s="1"/>
  <c r="G348" i="11" s="1"/>
  <c r="E337" i="11"/>
  <c r="G337" i="11" s="1"/>
  <c r="E335" i="11"/>
  <c r="G335" i="11" s="1"/>
  <c r="E326" i="11"/>
  <c r="E323" i="11"/>
  <c r="G323" i="11" s="1"/>
  <c r="E321" i="11"/>
  <c r="E322" i="11" s="1"/>
  <c r="G322" i="11" s="1"/>
  <c r="E316" i="11"/>
  <c r="G316" i="11" s="1"/>
  <c r="E314" i="11"/>
  <c r="E315" i="11" s="1"/>
  <c r="G315" i="11" s="1"/>
  <c r="E293" i="11"/>
  <c r="E295" i="11" s="1"/>
  <c r="G295" i="11" s="1"/>
  <c r="E282" i="11"/>
  <c r="E283" i="11" s="1"/>
  <c r="E277" i="11"/>
  <c r="E276" i="11"/>
  <c r="E265" i="11"/>
  <c r="E260" i="11"/>
  <c r="G260" i="11" s="1"/>
  <c r="E247" i="11"/>
  <c r="G247" i="11" s="1"/>
  <c r="E238" i="11"/>
  <c r="E239" i="11" s="1"/>
  <c r="G239" i="11" s="1"/>
  <c r="E233" i="11"/>
  <c r="E232" i="11"/>
  <c r="E231" i="11"/>
  <c r="E230" i="11"/>
  <c r="E229" i="11"/>
  <c r="E228" i="11"/>
  <c r="E227" i="11"/>
  <c r="E226" i="11"/>
  <c r="E225" i="11"/>
  <c r="C208" i="11"/>
  <c r="C1032" i="11" s="1"/>
  <c r="E205" i="11"/>
  <c r="G205" i="11" s="1"/>
  <c r="E188" i="11"/>
  <c r="G188" i="11" s="1"/>
  <c r="E176" i="11"/>
  <c r="E175" i="11"/>
  <c r="E174" i="11"/>
  <c r="E173" i="11"/>
  <c r="E172" i="11"/>
  <c r="E165" i="11"/>
  <c r="G165" i="11" s="1"/>
  <c r="E164" i="11"/>
  <c r="G164" i="11" s="1"/>
  <c r="E157" i="11"/>
  <c r="G157" i="11" s="1"/>
  <c r="E145" i="11"/>
  <c r="E144" i="11"/>
  <c r="E142" i="11"/>
  <c r="E141" i="11"/>
  <c r="E140" i="11"/>
  <c r="E139" i="11"/>
  <c r="E138" i="11"/>
  <c r="E147" i="11" s="1"/>
  <c r="G147" i="11" s="1"/>
  <c r="C125" i="11"/>
  <c r="C1031" i="11" s="1"/>
  <c r="E120" i="11"/>
  <c r="G120" i="11" s="1"/>
  <c r="E117" i="11"/>
  <c r="G117" i="11" s="1"/>
  <c r="E108" i="11"/>
  <c r="G108" i="11" s="1"/>
  <c r="E107" i="11"/>
  <c r="E100" i="11"/>
  <c r="E94" i="11"/>
  <c r="G94" i="11" s="1"/>
  <c r="E87" i="11"/>
  <c r="G87" i="11" s="1"/>
  <c r="G86" i="11"/>
  <c r="E79" i="11"/>
  <c r="E80" i="11" s="1"/>
  <c r="G80" i="11" s="1"/>
  <c r="E73" i="11"/>
  <c r="G73" i="11" s="1"/>
  <c r="G72" i="11"/>
  <c r="G71" i="11"/>
  <c r="E69" i="11"/>
  <c r="G69" i="11" s="1"/>
  <c r="G68" i="11"/>
  <c r="G62" i="11"/>
  <c r="G61" i="11"/>
  <c r="G60" i="11"/>
  <c r="G59" i="11"/>
  <c r="G58" i="11"/>
  <c r="G57" i="11"/>
  <c r="G55" i="11"/>
  <c r="G54" i="11"/>
  <c r="G53" i="11"/>
  <c r="G46" i="11"/>
  <c r="G45" i="11"/>
  <c r="G44" i="11"/>
  <c r="G43" i="11"/>
  <c r="G41" i="11"/>
  <c r="G40" i="11"/>
  <c r="G34" i="11"/>
  <c r="G32" i="11"/>
  <c r="G31" i="11"/>
  <c r="G24" i="11"/>
  <c r="G22" i="11"/>
  <c r="E21" i="11"/>
  <c r="G21" i="11" s="1"/>
  <c r="G13" i="11"/>
  <c r="G9" i="11"/>
  <c r="E537" i="11" l="1"/>
  <c r="G537" i="11" s="1"/>
  <c r="G674" i="11"/>
  <c r="G773" i="11"/>
  <c r="E1039" i="11" s="1"/>
  <c r="E788" i="11"/>
  <c r="E828" i="11" s="1"/>
  <c r="G828" i="11" s="1"/>
  <c r="G948" i="11"/>
  <c r="E84" i="4"/>
  <c r="E179" i="11"/>
  <c r="G179" i="11" s="1"/>
  <c r="G208" i="11" s="1"/>
  <c r="E234" i="11"/>
  <c r="G234" i="11" s="1"/>
  <c r="E499" i="11"/>
  <c r="G499" i="11" s="1"/>
  <c r="G1016" i="11"/>
  <c r="E278" i="11"/>
  <c r="E279" i="11" s="1"/>
  <c r="G279" i="11" s="1"/>
  <c r="G971" i="11"/>
  <c r="G996" i="11"/>
  <c r="G925" i="11"/>
  <c r="E346" i="11"/>
  <c r="A239" i="7"/>
  <c r="E1041" i="11"/>
  <c r="E83" i="4"/>
  <c r="G780" i="11"/>
  <c r="E819" i="11"/>
  <c r="G819" i="11" s="1"/>
  <c r="E78" i="4"/>
  <c r="E1036" i="11"/>
  <c r="E370" i="11"/>
  <c r="G370" i="11" s="1"/>
  <c r="E368" i="11"/>
  <c r="E369" i="11" s="1"/>
  <c r="G369" i="11" s="1"/>
  <c r="E358" i="11"/>
  <c r="E359" i="11" s="1"/>
  <c r="G359" i="11" s="1"/>
  <c r="G357" i="11"/>
  <c r="E327" i="11"/>
  <c r="E329" i="11"/>
  <c r="G329" i="11" s="1"/>
  <c r="G265" i="11"/>
  <c r="E266" i="11"/>
  <c r="G266" i="11" s="1"/>
  <c r="E712" i="11"/>
  <c r="G712" i="11" s="1"/>
  <c r="G707" i="11"/>
  <c r="G283" i="11"/>
  <c r="E284" i="11"/>
  <c r="G284" i="11" s="1"/>
  <c r="G327" i="11"/>
  <c r="E328" i="11"/>
  <c r="G328" i="11" s="1"/>
  <c r="G749" i="11"/>
  <c r="G454" i="11"/>
  <c r="G642" i="11"/>
  <c r="G1026" i="11"/>
  <c r="G79" i="11"/>
  <c r="G788" i="11"/>
  <c r="G860" i="11" s="1"/>
  <c r="E109" i="11"/>
  <c r="G109" i="11" s="1"/>
  <c r="E848" i="11"/>
  <c r="G848" i="11" s="1"/>
  <c r="E336" i="11"/>
  <c r="G336" i="11" s="1"/>
  <c r="G810" i="11"/>
  <c r="G700" i="11"/>
  <c r="G368" i="11"/>
  <c r="E261" i="11"/>
  <c r="G261" i="11" s="1"/>
  <c r="E294" i="11"/>
  <c r="G358" i="11"/>
  <c r="E770" i="11"/>
  <c r="G314" i="11"/>
  <c r="G321" i="11"/>
  <c r="G125" i="11" l="1"/>
  <c r="G278" i="11"/>
  <c r="E81" i="4"/>
  <c r="E347" i="11"/>
  <c r="G347" i="11" s="1"/>
  <c r="G346" i="11"/>
  <c r="A245" i="7"/>
  <c r="E1032" i="11"/>
  <c r="E74" i="4"/>
  <c r="E1038" i="11"/>
  <c r="E80" i="4"/>
  <c r="E1034" i="11"/>
  <c r="E76" i="4"/>
  <c r="E1035" i="11"/>
  <c r="E77" i="4"/>
  <c r="E1043" i="11"/>
  <c r="E85" i="4"/>
  <c r="E1031" i="11"/>
  <c r="E73" i="4"/>
  <c r="E82" i="4"/>
  <c r="E1040" i="11"/>
  <c r="E296" i="11"/>
  <c r="G296" i="11" s="1"/>
  <c r="G294" i="11"/>
  <c r="G715" i="11"/>
  <c r="G372" i="11" l="1"/>
  <c r="E75" i="4" s="1"/>
  <c r="E86" i="4" s="1"/>
  <c r="E95" i="4" s="1"/>
  <c r="A251" i="7"/>
  <c r="E1033" i="11"/>
  <c r="E1045" i="11" s="1"/>
  <c r="E1037" i="11"/>
  <c r="E79" i="4"/>
  <c r="A257" i="7" l="1"/>
  <c r="B897" i="10"/>
  <c r="A897" i="10"/>
  <c r="F895" i="10"/>
  <c r="F893" i="10"/>
  <c r="F892" i="10"/>
  <c r="F889" i="10"/>
  <c r="F887" i="10"/>
  <c r="F885" i="10"/>
  <c r="F881" i="10"/>
  <c r="F878" i="10"/>
  <c r="F876" i="10"/>
  <c r="F874" i="10"/>
  <c r="F872" i="10"/>
  <c r="F870" i="10"/>
  <c r="F868" i="10"/>
  <c r="F867" i="10"/>
  <c r="F862" i="10"/>
  <c r="F861" i="10"/>
  <c r="F855" i="10"/>
  <c r="F853" i="10"/>
  <c r="F851" i="10"/>
  <c r="F849" i="10"/>
  <c r="F847" i="10"/>
  <c r="F844" i="10"/>
  <c r="F841" i="10"/>
  <c r="F838" i="10"/>
  <c r="F837" i="10"/>
  <c r="F834" i="10"/>
  <c r="F833" i="10"/>
  <c r="F830" i="10"/>
  <c r="F829" i="10"/>
  <c r="F828" i="10"/>
  <c r="F825" i="10"/>
  <c r="F822" i="10"/>
  <c r="F817" i="10"/>
  <c r="F816" i="10"/>
  <c r="F808" i="10"/>
  <c r="F788" i="10"/>
  <c r="F785" i="10"/>
  <c r="F783" i="10"/>
  <c r="F781" i="10"/>
  <c r="F779" i="10"/>
  <c r="F778" i="10"/>
  <c r="F775" i="10"/>
  <c r="F772" i="10"/>
  <c r="F771" i="10"/>
  <c r="F768" i="10"/>
  <c r="F766" i="10"/>
  <c r="F724" i="10"/>
  <c r="F721" i="10"/>
  <c r="F717" i="10"/>
  <c r="F715" i="10"/>
  <c r="F713" i="10"/>
  <c r="F711" i="10"/>
  <c r="F710" i="10"/>
  <c r="F707" i="10"/>
  <c r="F704" i="10"/>
  <c r="F703" i="10"/>
  <c r="F699" i="10"/>
  <c r="F696" i="10"/>
  <c r="F695" i="10"/>
  <c r="F692" i="10"/>
  <c r="F689" i="10"/>
  <c r="F686" i="10"/>
  <c r="F683" i="10"/>
  <c r="F678" i="10"/>
  <c r="F677" i="10"/>
  <c r="F676" i="10"/>
  <c r="F675" i="10"/>
  <c r="F662" i="10"/>
  <c r="F654" i="10"/>
  <c r="F633" i="10"/>
  <c r="F631" i="10"/>
  <c r="F629" i="10"/>
  <c r="F627" i="10"/>
  <c r="F625" i="10"/>
  <c r="F623" i="10"/>
  <c r="F621" i="10"/>
  <c r="F620" i="10"/>
  <c r="F619" i="10"/>
  <c r="F618" i="10"/>
  <c r="F615" i="10"/>
  <c r="F613" i="10"/>
  <c r="F610" i="10"/>
  <c r="F608" i="10"/>
  <c r="F605" i="10"/>
  <c r="F602" i="10"/>
  <c r="F599" i="10"/>
  <c r="F598" i="10"/>
  <c r="F597" i="10"/>
  <c r="F596" i="10"/>
  <c r="F595" i="10"/>
  <c r="F592" i="10"/>
  <c r="F591" i="10"/>
  <c r="F537" i="10"/>
  <c r="F526" i="10"/>
  <c r="F512" i="10"/>
  <c r="F500" i="10"/>
  <c r="F488" i="10"/>
  <c r="F476" i="10"/>
  <c r="F457" i="10"/>
  <c r="F443" i="10"/>
  <c r="F429" i="10"/>
  <c r="F414" i="10"/>
  <c r="F394" i="10"/>
  <c r="F380" i="10"/>
  <c r="F373" i="10"/>
  <c r="F366" i="10"/>
  <c r="F337" i="10"/>
  <c r="F334" i="10"/>
  <c r="F332" i="10"/>
  <c r="F330" i="10"/>
  <c r="F328" i="10"/>
  <c r="F326" i="10"/>
  <c r="F324" i="10"/>
  <c r="F322" i="10"/>
  <c r="F320" i="10"/>
  <c r="F318" i="10"/>
  <c r="F316" i="10"/>
  <c r="F314" i="10"/>
  <c r="F311" i="10"/>
  <c r="F310" i="10"/>
  <c r="F307" i="10"/>
  <c r="F304" i="10"/>
  <c r="F303" i="10"/>
  <c r="F300" i="10"/>
  <c r="F297" i="10"/>
  <c r="F294" i="10"/>
  <c r="F293" i="10"/>
  <c r="F292" i="10"/>
  <c r="F291" i="10"/>
  <c r="F288" i="10"/>
  <c r="F285" i="10"/>
  <c r="F282" i="10"/>
  <c r="F279" i="10"/>
  <c r="F277" i="10"/>
  <c r="F269" i="10"/>
  <c r="F268" i="10"/>
  <c r="F267" i="10"/>
  <c r="F266" i="10"/>
  <c r="F265" i="10"/>
  <c r="F264" i="10"/>
  <c r="F263" i="10"/>
  <c r="F262" i="10"/>
  <c r="F259" i="10"/>
  <c r="F258" i="10"/>
  <c r="F257" i="10"/>
  <c r="F256" i="10"/>
  <c r="F255" i="10"/>
  <c r="F254" i="10"/>
  <c r="F253" i="10"/>
  <c r="F250" i="10"/>
  <c r="F248" i="10"/>
  <c r="F239" i="10"/>
  <c r="F237" i="10"/>
  <c r="F235" i="10"/>
  <c r="F226" i="10"/>
  <c r="F207" i="10"/>
  <c r="F176" i="10"/>
  <c r="F169" i="10"/>
  <c r="F158" i="10"/>
  <c r="F154" i="10"/>
  <c r="F152" i="10"/>
  <c r="F150" i="10"/>
  <c r="F148" i="10"/>
  <c r="F144" i="10"/>
  <c r="F143" i="10"/>
  <c r="F138" i="10"/>
  <c r="F136" i="10"/>
  <c r="F134" i="10"/>
  <c r="F132" i="10"/>
  <c r="F121" i="10"/>
  <c r="F118" i="10"/>
  <c r="F116" i="10"/>
  <c r="F114" i="10"/>
  <c r="F112" i="10"/>
  <c r="F110" i="10"/>
  <c r="F108" i="10"/>
  <c r="F106" i="10"/>
  <c r="F104" i="10"/>
  <c r="F103" i="10"/>
  <c r="F102" i="10"/>
  <c r="F101" i="10"/>
  <c r="F100" i="10"/>
  <c r="F99" i="10"/>
  <c r="F98" i="10"/>
  <c r="F97" i="10"/>
  <c r="F96" i="10"/>
  <c r="F93" i="10"/>
  <c r="F92" i="10"/>
  <c r="F91" i="10"/>
  <c r="F90" i="10"/>
  <c r="F89" i="10"/>
  <c r="F88" i="10"/>
  <c r="F87" i="10"/>
  <c r="F86" i="10"/>
  <c r="F85" i="10"/>
  <c r="F82" i="10"/>
  <c r="F81" i="10"/>
  <c r="F80" i="10"/>
  <c r="F79" i="10"/>
  <c r="F78" i="10"/>
  <c r="F77" i="10"/>
  <c r="F76" i="10"/>
  <c r="F75" i="10"/>
  <c r="F74" i="10"/>
  <c r="F71" i="10"/>
  <c r="F69" i="10"/>
  <c r="F67" i="10"/>
  <c r="F65" i="10"/>
  <c r="F64" i="10"/>
  <c r="F63" i="10"/>
  <c r="F62" i="10"/>
  <c r="F61" i="10"/>
  <c r="F59" i="10"/>
  <c r="F58" i="10"/>
  <c r="F57" i="10"/>
  <c r="F56" i="10"/>
  <c r="F55" i="10"/>
  <c r="F54" i="10"/>
  <c r="F53" i="10"/>
  <c r="F51" i="10"/>
  <c r="F50" i="10"/>
  <c r="F49" i="10"/>
  <c r="F48" i="10"/>
  <c r="F47" i="10"/>
  <c r="F45" i="10"/>
  <c r="F44" i="10"/>
  <c r="F43" i="10"/>
  <c r="F42" i="10"/>
  <c r="F41" i="10"/>
  <c r="F40" i="10"/>
  <c r="F39" i="10"/>
  <c r="F38" i="10"/>
  <c r="F34" i="10"/>
  <c r="F32" i="10"/>
  <c r="F31" i="10"/>
  <c r="F29" i="10"/>
  <c r="F28" i="10"/>
  <c r="F26" i="10"/>
  <c r="F25" i="10"/>
  <c r="F23" i="10"/>
  <c r="F22" i="10"/>
  <c r="F21" i="10"/>
  <c r="F19" i="10"/>
  <c r="F16" i="10"/>
  <c r="F14" i="10"/>
  <c r="F12" i="10"/>
  <c r="F9" i="10"/>
  <c r="F8" i="10"/>
  <c r="F7" i="10"/>
  <c r="F4" i="10"/>
  <c r="A3" i="10"/>
  <c r="D403" i="3"/>
  <c r="F403" i="3" s="1"/>
  <c r="F487" i="2"/>
  <c r="F493" i="2"/>
  <c r="F492" i="2"/>
  <c r="F491" i="2"/>
  <c r="F490" i="2"/>
  <c r="F489" i="2"/>
  <c r="F488" i="2"/>
  <c r="F486" i="2"/>
  <c r="F485" i="2"/>
  <c r="F484" i="2"/>
  <c r="F804" i="2"/>
  <c r="F787" i="2"/>
  <c r="F785" i="2"/>
  <c r="F784" i="2"/>
  <c r="F783" i="2"/>
  <c r="F782" i="2"/>
  <c r="F780" i="2"/>
  <c r="F777" i="2"/>
  <c r="F771" i="2"/>
  <c r="F769" i="2"/>
  <c r="F768" i="2"/>
  <c r="F767" i="2"/>
  <c r="F766" i="2"/>
  <c r="F765" i="2"/>
  <c r="F803" i="2"/>
  <c r="F802" i="2"/>
  <c r="F801" i="2"/>
  <c r="F800" i="2"/>
  <c r="F799" i="2"/>
  <c r="F798" i="2"/>
  <c r="F797" i="2"/>
  <c r="F796" i="2"/>
  <c r="F795" i="2"/>
  <c r="F794" i="2"/>
  <c r="F793" i="2"/>
  <c r="F792" i="2"/>
  <c r="F791" i="2"/>
  <c r="F790" i="2"/>
  <c r="F789" i="2"/>
  <c r="F788" i="2"/>
  <c r="F786" i="2"/>
  <c r="F781" i="2"/>
  <c r="F779" i="2"/>
  <c r="F778" i="2"/>
  <c r="F776" i="2"/>
  <c r="F775" i="2"/>
  <c r="F774" i="2"/>
  <c r="F773" i="2"/>
  <c r="F772" i="2"/>
  <c r="F770" i="2"/>
  <c r="F764" i="2"/>
  <c r="F704" i="2"/>
  <c r="F705" i="2"/>
  <c r="F708" i="2"/>
  <c r="F709" i="2"/>
  <c r="F710" i="2"/>
  <c r="F716" i="2"/>
  <c r="F717" i="2"/>
  <c r="F718" i="2"/>
  <c r="F719" i="2"/>
  <c r="F720" i="2"/>
  <c r="F721" i="2"/>
  <c r="F722" i="2"/>
  <c r="F723" i="2"/>
  <c r="F724" i="2"/>
  <c r="F731" i="2"/>
  <c r="F732" i="2"/>
  <c r="F733" i="2"/>
  <c r="F734" i="2"/>
  <c r="F735" i="2"/>
  <c r="F736" i="2"/>
  <c r="F737" i="2"/>
  <c r="F738" i="2"/>
  <c r="F739" i="2"/>
  <c r="F740" i="2"/>
  <c r="F741" i="2"/>
  <c r="F742" i="2"/>
  <c r="D715" i="2"/>
  <c r="F715" i="2" s="1"/>
  <c r="D707" i="2"/>
  <c r="F707" i="2" s="1"/>
  <c r="D706" i="2"/>
  <c r="F706" i="2" s="1"/>
  <c r="D714" i="2"/>
  <c r="F714" i="2" s="1"/>
  <c r="D730" i="2"/>
  <c r="F730" i="2" s="1"/>
  <c r="D729" i="2"/>
  <c r="F729" i="2" s="1"/>
  <c r="D713" i="2"/>
  <c r="F713" i="2" s="1"/>
  <c r="D728" i="2"/>
  <c r="F728" i="2" s="1"/>
  <c r="D727" i="2"/>
  <c r="F727" i="2" s="1"/>
  <c r="D726" i="2"/>
  <c r="F726" i="2" s="1"/>
  <c r="D712" i="2"/>
  <c r="F712" i="2" s="1"/>
  <c r="D725" i="2"/>
  <c r="F725" i="2" s="1"/>
  <c r="D711" i="2"/>
  <c r="F711" i="2" s="1"/>
  <c r="D703" i="2"/>
  <c r="F703" i="2" s="1"/>
  <c r="D702" i="2"/>
  <c r="F702" i="2" s="1"/>
  <c r="F699" i="2"/>
  <c r="F698" i="2"/>
  <c r="D758" i="2"/>
  <c r="D753" i="2"/>
  <c r="D268" i="6"/>
  <c r="D263" i="6"/>
  <c r="D696" i="2"/>
  <c r="F696" i="2" s="1"/>
  <c r="D691" i="2"/>
  <c r="F697" i="2"/>
  <c r="F694" i="2"/>
  <c r="F693" i="2"/>
  <c r="D1042" i="3"/>
  <c r="D1028" i="3"/>
  <c r="F1057" i="3"/>
  <c r="F1058" i="3"/>
  <c r="F1059" i="3"/>
  <c r="F1060" i="3"/>
  <c r="F1061" i="3"/>
  <c r="D562" i="3"/>
  <c r="D1003" i="2"/>
  <c r="D1009" i="2"/>
  <c r="D566" i="3"/>
  <c r="F284" i="6"/>
  <c r="F285" i="6"/>
  <c r="F286" i="6"/>
  <c r="F287" i="6"/>
  <c r="F288" i="6"/>
  <c r="F289" i="6"/>
  <c r="F290" i="6"/>
  <c r="F291" i="6"/>
  <c r="F292" i="6"/>
  <c r="F293" i="6"/>
  <c r="F294" i="6"/>
  <c r="F295" i="6"/>
  <c r="F296" i="6"/>
  <c r="F267" i="3"/>
  <c r="F270" i="3"/>
  <c r="F269" i="3"/>
  <c r="F254" i="3"/>
  <c r="F255" i="3"/>
  <c r="F256" i="3"/>
  <c r="F257" i="3"/>
  <c r="F258" i="3"/>
  <c r="F259" i="3"/>
  <c r="F260" i="3"/>
  <c r="F261" i="3"/>
  <c r="F262" i="3"/>
  <c r="F263" i="3"/>
  <c r="F264" i="3"/>
  <c r="F265" i="3"/>
  <c r="F266" i="3"/>
  <c r="F268" i="3"/>
  <c r="F1585" i="3"/>
  <c r="F1586" i="3"/>
  <c r="F1587" i="3"/>
  <c r="F1588" i="3"/>
  <c r="F897" i="10" l="1"/>
  <c r="E52" i="4" s="1"/>
  <c r="E91" i="4" s="1"/>
  <c r="A264" i="7"/>
  <c r="A120" i="10"/>
  <c r="A4" i="10"/>
  <c r="A6" i="10" s="1"/>
  <c r="A11" i="10" s="1"/>
  <c r="A14" i="10" s="1"/>
  <c r="A16" i="10" s="1"/>
  <c r="A19" i="10" s="1"/>
  <c r="A21" i="10" s="1"/>
  <c r="A22" i="10" s="1"/>
  <c r="A23" i="10" s="1"/>
  <c r="A25" i="10" s="1"/>
  <c r="A26" i="10" s="1"/>
  <c r="A28" i="10" s="1"/>
  <c r="A29" i="10" s="1"/>
  <c r="A31" i="10" s="1"/>
  <c r="A32" i="10" s="1"/>
  <c r="A34" i="10" s="1"/>
  <c r="A36" i="10" s="1"/>
  <c r="A67" i="10" s="1"/>
  <c r="A69" i="10" s="1"/>
  <c r="A71" i="10" s="1"/>
  <c r="A73" i="10" s="1"/>
  <c r="A84" i="10" s="1"/>
  <c r="A95" i="10" s="1"/>
  <c r="A106" i="10" s="1"/>
  <c r="A108" i="10" s="1"/>
  <c r="A110" i="10" s="1"/>
  <c r="A112" i="10" s="1"/>
  <c r="A114" i="10" s="1"/>
  <c r="A116" i="10" s="1"/>
  <c r="A118" i="10" s="1"/>
  <c r="A121" i="10"/>
  <c r="A128" i="10"/>
  <c r="F507" i="2"/>
  <c r="F506" i="2"/>
  <c r="F505" i="2"/>
  <c r="F504" i="2"/>
  <c r="D459" i="2"/>
  <c r="F459" i="2" s="1"/>
  <c r="F458" i="2"/>
  <c r="F457" i="2"/>
  <c r="F456" i="2"/>
  <c r="F898" i="10" l="1"/>
  <c r="F899" i="10" s="1"/>
  <c r="A268" i="7"/>
  <c r="A140" i="10"/>
  <c r="A132" i="10"/>
  <c r="A134" i="10" s="1"/>
  <c r="A136" i="10" s="1"/>
  <c r="A138" i="10" s="1"/>
  <c r="F514" i="2"/>
  <c r="F513" i="2"/>
  <c r="F1614" i="3"/>
  <c r="F1615" i="3"/>
  <c r="F1616" i="3"/>
  <c r="F1617" i="3"/>
  <c r="F1618" i="3"/>
  <c r="F1619" i="3"/>
  <c r="F1620" i="3"/>
  <c r="F1621" i="3"/>
  <c r="F1622" i="3"/>
  <c r="F1623" i="3"/>
  <c r="F1626" i="3"/>
  <c r="F1613" i="3"/>
  <c r="F1081" i="3"/>
  <c r="F1082" i="3"/>
  <c r="F1083" i="3"/>
  <c r="F1084" i="3"/>
  <c r="F1085" i="3"/>
  <c r="F1086" i="3"/>
  <c r="F1087" i="3"/>
  <c r="F1088" i="3"/>
  <c r="F1089" i="3"/>
  <c r="F1090" i="3"/>
  <c r="F1091" i="3"/>
  <c r="F1092" i="3"/>
  <c r="F1093" i="3"/>
  <c r="F1094" i="3"/>
  <c r="F1095" i="3"/>
  <c r="F1096" i="3"/>
  <c r="F1097" i="3"/>
  <c r="F1098" i="3"/>
  <c r="F1099" i="3"/>
  <c r="F1100" i="3"/>
  <c r="F1101" i="3"/>
  <c r="F1102" i="3"/>
  <c r="F1103" i="3"/>
  <c r="F1104" i="3"/>
  <c r="F1105" i="3"/>
  <c r="F1106" i="3"/>
  <c r="F1107" i="3"/>
  <c r="F1108" i="3"/>
  <c r="F1109" i="3"/>
  <c r="F1110" i="3"/>
  <c r="F1111" i="3"/>
  <c r="F1112" i="3"/>
  <c r="F1113" i="3"/>
  <c r="F1114" i="3"/>
  <c r="F1115" i="3"/>
  <c r="F1116" i="3"/>
  <c r="F1117" i="3"/>
  <c r="F1118" i="3"/>
  <c r="F1119" i="3"/>
  <c r="F1120" i="3"/>
  <c r="F1121" i="3"/>
  <c r="F1122" i="3"/>
  <c r="F1123" i="3"/>
  <c r="F1124" i="3"/>
  <c r="F1125" i="3"/>
  <c r="F1126" i="3"/>
  <c r="F1127" i="3"/>
  <c r="F1128" i="3"/>
  <c r="F1129" i="3"/>
  <c r="F1130" i="3"/>
  <c r="F1131" i="3"/>
  <c r="F1132" i="3"/>
  <c r="F1133" i="3"/>
  <c r="F1134" i="3"/>
  <c r="F1135" i="3"/>
  <c r="F1136" i="3"/>
  <c r="F1137" i="3"/>
  <c r="F1138" i="3"/>
  <c r="F1139" i="3"/>
  <c r="F1140" i="3"/>
  <c r="F1141" i="3"/>
  <c r="F1142" i="3"/>
  <c r="F1143" i="3"/>
  <c r="F1144" i="3"/>
  <c r="F1145" i="3"/>
  <c r="F1146" i="3"/>
  <c r="F1147" i="3"/>
  <c r="F1148" i="3"/>
  <c r="F1149" i="3"/>
  <c r="F1150" i="3"/>
  <c r="F1151" i="3"/>
  <c r="F1152" i="3"/>
  <c r="F1153" i="3"/>
  <c r="F1154" i="3"/>
  <c r="F1155" i="3"/>
  <c r="F1156" i="3"/>
  <c r="F1157" i="3"/>
  <c r="F1158" i="3"/>
  <c r="F1159" i="3"/>
  <c r="F1160" i="3"/>
  <c r="F1161" i="3"/>
  <c r="F1162" i="3"/>
  <c r="F1164" i="3"/>
  <c r="F1165" i="3"/>
  <c r="F1166" i="3"/>
  <c r="F1167" i="3"/>
  <c r="F1168" i="3"/>
  <c r="F1169" i="3"/>
  <c r="F1170" i="3"/>
  <c r="F1171" i="3"/>
  <c r="F1172" i="3"/>
  <c r="F1173" i="3"/>
  <c r="F1174" i="3"/>
  <c r="F1175" i="3"/>
  <c r="F1176" i="3"/>
  <c r="F1177" i="3"/>
  <c r="F1179" i="3"/>
  <c r="F1180" i="3"/>
  <c r="F1181" i="3"/>
  <c r="F1182" i="3"/>
  <c r="F1183" i="3"/>
  <c r="F1184" i="3"/>
  <c r="F1185" i="3"/>
  <c r="F1186" i="3"/>
  <c r="F1187" i="3"/>
  <c r="F1188" i="3"/>
  <c r="F1189" i="3"/>
  <c r="F1190" i="3"/>
  <c r="F1191" i="3"/>
  <c r="F1192" i="3"/>
  <c r="F1194" i="3"/>
  <c r="F1195" i="3"/>
  <c r="F1196" i="3"/>
  <c r="F1197" i="3"/>
  <c r="F1198" i="3"/>
  <c r="F1199" i="3"/>
  <c r="F1200" i="3"/>
  <c r="F1201" i="3"/>
  <c r="F1202" i="3"/>
  <c r="F1203" i="3"/>
  <c r="F1204" i="3"/>
  <c r="F1205" i="3"/>
  <c r="F1206" i="3"/>
  <c r="F1207" i="3"/>
  <c r="F1208" i="3"/>
  <c r="F1209" i="3"/>
  <c r="F1210" i="3"/>
  <c r="F1211" i="3"/>
  <c r="F1212" i="3"/>
  <c r="F1213" i="3"/>
  <c r="F1214" i="3"/>
  <c r="F1215" i="3"/>
  <c r="F1216" i="3"/>
  <c r="F1217" i="3"/>
  <c r="F1218" i="3"/>
  <c r="F1219" i="3"/>
  <c r="F1220" i="3"/>
  <c r="F1221" i="3"/>
  <c r="F1222" i="3"/>
  <c r="F1223" i="3"/>
  <c r="F1224" i="3"/>
  <c r="F1225" i="3"/>
  <c r="F1226" i="3"/>
  <c r="F1227" i="3"/>
  <c r="F1228" i="3"/>
  <c r="F1229" i="3"/>
  <c r="F1230" i="3"/>
  <c r="F1231" i="3"/>
  <c r="F1232" i="3"/>
  <c r="F1233" i="3"/>
  <c r="F1235" i="3"/>
  <c r="F1236" i="3"/>
  <c r="F1237" i="3"/>
  <c r="F1238" i="3"/>
  <c r="F1239" i="3"/>
  <c r="F1240" i="3"/>
  <c r="F1241" i="3"/>
  <c r="F1242" i="3"/>
  <c r="F1243" i="3"/>
  <c r="F1244" i="3"/>
  <c r="F1245" i="3"/>
  <c r="F1246" i="3"/>
  <c r="F1247" i="3"/>
  <c r="F1248" i="3"/>
  <c r="F1249" i="3"/>
  <c r="F1250" i="3"/>
  <c r="F1251" i="3"/>
  <c r="F1252" i="3"/>
  <c r="F1253" i="3"/>
  <c r="F1254" i="3"/>
  <c r="F1255" i="3"/>
  <c r="F1256" i="3"/>
  <c r="F1257" i="3"/>
  <c r="F1258" i="3"/>
  <c r="F1259" i="3"/>
  <c r="F1260" i="3"/>
  <c r="F1261" i="3"/>
  <c r="F1263" i="3"/>
  <c r="F1264" i="3"/>
  <c r="F1265" i="3"/>
  <c r="F1266" i="3"/>
  <c r="F1267" i="3"/>
  <c r="F1268" i="3"/>
  <c r="F1269" i="3"/>
  <c r="F1270" i="3"/>
  <c r="F1271" i="3"/>
  <c r="F1272" i="3"/>
  <c r="F1273" i="3"/>
  <c r="F1274" i="3"/>
  <c r="F1275" i="3"/>
  <c r="F1276" i="3"/>
  <c r="F1277" i="3"/>
  <c r="F1278" i="3"/>
  <c r="F1279" i="3"/>
  <c r="F1280" i="3"/>
  <c r="F1281" i="3"/>
  <c r="F1282" i="3"/>
  <c r="F1283" i="3"/>
  <c r="F1284" i="3"/>
  <c r="F1285" i="3"/>
  <c r="F1286" i="3"/>
  <c r="F1287" i="3"/>
  <c r="F1288" i="3"/>
  <c r="F1289" i="3"/>
  <c r="F1290" i="3"/>
  <c r="F1291" i="3"/>
  <c r="F1293" i="3"/>
  <c r="F1294" i="3"/>
  <c r="F1295" i="3"/>
  <c r="F1296" i="3"/>
  <c r="F1297" i="3"/>
  <c r="F1298" i="3"/>
  <c r="F1299" i="3"/>
  <c r="F1300" i="3"/>
  <c r="F1301" i="3"/>
  <c r="F1302" i="3"/>
  <c r="F1303" i="3"/>
  <c r="F1304" i="3"/>
  <c r="F1305" i="3"/>
  <c r="F1306" i="3"/>
  <c r="F1307" i="3"/>
  <c r="F1309" i="3"/>
  <c r="F1310" i="3"/>
  <c r="F1311" i="3"/>
  <c r="F1312" i="3"/>
  <c r="F1313" i="3"/>
  <c r="F1314" i="3"/>
  <c r="F1315" i="3"/>
  <c r="F1316" i="3"/>
  <c r="F1317" i="3"/>
  <c r="F1318" i="3"/>
  <c r="F1319" i="3"/>
  <c r="F1320" i="3"/>
  <c r="F1321" i="3"/>
  <c r="F1322" i="3"/>
  <c r="F1323" i="3"/>
  <c r="F1324" i="3"/>
  <c r="F1325" i="3"/>
  <c r="F1326" i="3"/>
  <c r="F1327" i="3"/>
  <c r="F1328" i="3"/>
  <c r="F1329" i="3"/>
  <c r="F1330" i="3"/>
  <c r="F1331" i="3"/>
  <c r="F1332" i="3"/>
  <c r="F1333" i="3"/>
  <c r="F1334" i="3"/>
  <c r="F1335" i="3"/>
  <c r="F1336" i="3"/>
  <c r="F1337" i="3"/>
  <c r="F1338" i="3"/>
  <c r="F1339" i="3"/>
  <c r="F1340" i="3"/>
  <c r="F1341" i="3"/>
  <c r="F1342" i="3"/>
  <c r="F1343" i="3"/>
  <c r="F1344" i="3"/>
  <c r="F1345" i="3"/>
  <c r="F1346" i="3"/>
  <c r="F1347" i="3"/>
  <c r="F1348" i="3"/>
  <c r="F1349" i="3"/>
  <c r="F1350" i="3"/>
  <c r="F1351" i="3"/>
  <c r="F1352" i="3"/>
  <c r="F1353" i="3"/>
  <c r="F1354" i="3"/>
  <c r="F1355" i="3"/>
  <c r="F1356" i="3"/>
  <c r="F1357" i="3"/>
  <c r="F1358" i="3"/>
  <c r="F1359" i="3"/>
  <c r="F1360" i="3"/>
  <c r="F1361" i="3"/>
  <c r="F1362" i="3"/>
  <c r="F1363" i="3"/>
  <c r="F1364" i="3"/>
  <c r="F1365" i="3"/>
  <c r="F1366" i="3"/>
  <c r="F1367" i="3"/>
  <c r="F1368" i="3"/>
  <c r="F1369" i="3"/>
  <c r="F1370" i="3"/>
  <c r="F1371" i="3"/>
  <c r="F1372" i="3"/>
  <c r="F1373" i="3"/>
  <c r="F1374" i="3"/>
  <c r="F1375" i="3"/>
  <c r="F1376" i="3"/>
  <c r="F1377" i="3"/>
  <c r="F1378" i="3"/>
  <c r="F1379" i="3"/>
  <c r="F1380" i="3"/>
  <c r="F1381" i="3"/>
  <c r="F1382" i="3"/>
  <c r="F1383" i="3"/>
  <c r="F1384" i="3"/>
  <c r="F1385" i="3"/>
  <c r="F1386" i="3"/>
  <c r="F1387" i="3"/>
  <c r="F1388" i="3"/>
  <c r="F1389" i="3"/>
  <c r="F1390" i="3"/>
  <c r="F1391" i="3"/>
  <c r="F1392" i="3"/>
  <c r="F1393" i="3"/>
  <c r="F1394" i="3"/>
  <c r="F1395" i="3"/>
  <c r="F1396" i="3"/>
  <c r="F1397" i="3"/>
  <c r="F1398" i="3"/>
  <c r="F1399" i="3"/>
  <c r="F1400" i="3"/>
  <c r="F1401" i="3"/>
  <c r="F1402" i="3"/>
  <c r="F1403" i="3"/>
  <c r="F1404" i="3"/>
  <c r="F1405" i="3"/>
  <c r="F1406" i="3"/>
  <c r="F1407" i="3"/>
  <c r="F1408" i="3"/>
  <c r="F1409" i="3"/>
  <c r="F1410" i="3"/>
  <c r="F1411" i="3"/>
  <c r="F1412" i="3"/>
  <c r="F1413" i="3"/>
  <c r="F1414" i="3"/>
  <c r="F1415" i="3"/>
  <c r="F1416" i="3"/>
  <c r="F1417" i="3"/>
  <c r="F1418" i="3"/>
  <c r="F1419" i="3"/>
  <c r="F1420" i="3"/>
  <c r="F1421" i="3"/>
  <c r="F1422" i="3"/>
  <c r="F1423" i="3"/>
  <c r="F1424" i="3"/>
  <c r="F1425" i="3"/>
  <c r="F1426" i="3"/>
  <c r="F1427" i="3"/>
  <c r="F1428" i="3"/>
  <c r="F1429" i="3"/>
  <c r="F1430" i="3"/>
  <c r="F1431" i="3"/>
  <c r="F1432" i="3"/>
  <c r="F1433" i="3"/>
  <c r="F1434" i="3"/>
  <c r="F1435" i="3"/>
  <c r="F1436" i="3"/>
  <c r="F1437" i="3"/>
  <c r="F1438" i="3"/>
  <c r="F1439" i="3"/>
  <c r="F1440" i="3"/>
  <c r="F1441" i="3"/>
  <c r="F1442" i="3"/>
  <c r="F1443" i="3"/>
  <c r="F1444" i="3"/>
  <c r="F1445" i="3"/>
  <c r="F1446" i="3"/>
  <c r="F1447" i="3"/>
  <c r="F1448" i="3"/>
  <c r="F1449" i="3"/>
  <c r="F1450" i="3"/>
  <c r="F1451" i="3"/>
  <c r="F1452" i="3"/>
  <c r="F1453" i="3"/>
  <c r="F1454" i="3"/>
  <c r="F1455" i="3"/>
  <c r="F1456" i="3"/>
  <c r="F1457" i="3"/>
  <c r="F1458" i="3"/>
  <c r="F1459" i="3"/>
  <c r="F1460" i="3"/>
  <c r="F1461" i="3"/>
  <c r="F1462" i="3"/>
  <c r="F1463" i="3"/>
  <c r="F1464" i="3"/>
  <c r="F1465" i="3"/>
  <c r="F1466" i="3"/>
  <c r="F1467" i="3"/>
  <c r="F1468" i="3"/>
  <c r="F1469" i="3"/>
  <c r="F1470" i="3"/>
  <c r="F1471" i="3"/>
  <c r="F1472" i="3"/>
  <c r="F1473" i="3"/>
  <c r="F1474" i="3"/>
  <c r="F1475" i="3"/>
  <c r="F1476" i="3"/>
  <c r="F1477" i="3"/>
  <c r="F1478" i="3"/>
  <c r="F1479" i="3"/>
  <c r="F1480" i="3"/>
  <c r="F1481" i="3"/>
  <c r="F1482" i="3"/>
  <c r="F1483" i="3"/>
  <c r="F1484" i="3"/>
  <c r="F1485" i="3"/>
  <c r="F1486" i="3"/>
  <c r="F1487" i="3"/>
  <c r="F1488" i="3"/>
  <c r="F1489" i="3"/>
  <c r="F1490" i="3"/>
  <c r="F1491" i="3"/>
  <c r="F1492" i="3"/>
  <c r="F1493" i="3"/>
  <c r="F1494" i="3"/>
  <c r="F1495" i="3"/>
  <c r="F1496" i="3"/>
  <c r="F1497" i="3"/>
  <c r="F1498" i="3"/>
  <c r="F1499" i="3"/>
  <c r="F1500" i="3"/>
  <c r="F1501" i="3"/>
  <c r="F1502" i="3"/>
  <c r="F1503" i="3"/>
  <c r="F1504" i="3"/>
  <c r="F1505" i="3"/>
  <c r="F1506" i="3"/>
  <c r="F1507" i="3"/>
  <c r="F1508" i="3"/>
  <c r="F1509" i="3"/>
  <c r="F1510" i="3"/>
  <c r="F1511" i="3"/>
  <c r="F1512" i="3"/>
  <c r="F1513" i="3"/>
  <c r="F1514" i="3"/>
  <c r="F1515" i="3"/>
  <c r="F1516" i="3"/>
  <c r="F1517" i="3"/>
  <c r="F1518" i="3"/>
  <c r="F1519" i="3"/>
  <c r="F1520" i="3"/>
  <c r="F1521" i="3"/>
  <c r="F1522" i="3"/>
  <c r="F1523" i="3"/>
  <c r="F1524" i="3"/>
  <c r="F1525" i="3"/>
  <c r="F1526" i="3"/>
  <c r="F1527" i="3"/>
  <c r="F1528" i="3"/>
  <c r="F1529" i="3"/>
  <c r="F1530" i="3"/>
  <c r="F1531" i="3"/>
  <c r="F1561" i="3"/>
  <c r="F1562" i="3"/>
  <c r="F1563" i="3"/>
  <c r="F1564" i="3"/>
  <c r="F1565" i="3"/>
  <c r="F1566" i="3"/>
  <c r="F1567" i="3"/>
  <c r="F1568" i="3"/>
  <c r="F1569" i="3"/>
  <c r="F1570" i="3"/>
  <c r="F1571" i="3"/>
  <c r="F1572" i="3"/>
  <c r="F1573" i="3"/>
  <c r="F1574" i="3"/>
  <c r="F1575" i="3"/>
  <c r="F1576" i="3"/>
  <c r="F1577" i="3"/>
  <c r="F1578" i="3"/>
  <c r="F1579" i="3"/>
  <c r="F1580" i="3"/>
  <c r="F1581" i="3"/>
  <c r="F1582" i="3"/>
  <c r="F1583" i="3"/>
  <c r="F1584" i="3"/>
  <c r="F1080" i="3"/>
  <c r="F717" i="3"/>
  <c r="F718" i="3"/>
  <c r="F719" i="3"/>
  <c r="F720" i="3"/>
  <c r="F721" i="3"/>
  <c r="F722" i="3"/>
  <c r="F723" i="3"/>
  <c r="F724" i="3"/>
  <c r="F725" i="3"/>
  <c r="F726" i="3"/>
  <c r="F727" i="3"/>
  <c r="F728" i="3"/>
  <c r="F729" i="3"/>
  <c r="F730" i="3"/>
  <c r="F731" i="3"/>
  <c r="F732" i="3"/>
  <c r="F733" i="3"/>
  <c r="F734" i="3"/>
  <c r="F735" i="3"/>
  <c r="F736" i="3"/>
  <c r="F737" i="3"/>
  <c r="F738" i="3"/>
  <c r="F739" i="3"/>
  <c r="F740" i="3"/>
  <c r="F741" i="3"/>
  <c r="F742" i="3"/>
  <c r="F743" i="3"/>
  <c r="F744" i="3"/>
  <c r="F745" i="3"/>
  <c r="F746" i="3"/>
  <c r="F747" i="3"/>
  <c r="F748" i="3"/>
  <c r="F749" i="3"/>
  <c r="F750" i="3"/>
  <c r="F751" i="3"/>
  <c r="F752" i="3"/>
  <c r="F753" i="3"/>
  <c r="F754" i="3"/>
  <c r="F755" i="3"/>
  <c r="F756"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0" i="3"/>
  <c r="F791" i="3"/>
  <c r="F792" i="3"/>
  <c r="F793" i="3"/>
  <c r="F794" i="3"/>
  <c r="F795" i="3"/>
  <c r="F796" i="3"/>
  <c r="F797" i="3"/>
  <c r="F798" i="3"/>
  <c r="F799" i="3"/>
  <c r="F800" i="3"/>
  <c r="F801" i="3"/>
  <c r="F802" i="3"/>
  <c r="F803" i="3"/>
  <c r="F804" i="3"/>
  <c r="F805" i="3"/>
  <c r="F806" i="3"/>
  <c r="F807" i="3"/>
  <c r="F808" i="3"/>
  <c r="F809" i="3"/>
  <c r="F810" i="3"/>
  <c r="F811" i="3"/>
  <c r="F812" i="3"/>
  <c r="F813" i="3"/>
  <c r="F814" i="3"/>
  <c r="F815" i="3"/>
  <c r="F816" i="3"/>
  <c r="F817" i="3"/>
  <c r="F818" i="3"/>
  <c r="F819" i="3"/>
  <c r="F820" i="3"/>
  <c r="F821" i="3"/>
  <c r="F822" i="3"/>
  <c r="F823" i="3"/>
  <c r="F824" i="3"/>
  <c r="F825" i="3"/>
  <c r="F826" i="3"/>
  <c r="F827" i="3"/>
  <c r="F828" i="3"/>
  <c r="F829" i="3"/>
  <c r="F830" i="3"/>
  <c r="F831" i="3"/>
  <c r="F832" i="3"/>
  <c r="F833" i="3"/>
  <c r="F834" i="3"/>
  <c r="F835" i="3"/>
  <c r="F836" i="3"/>
  <c r="F837" i="3"/>
  <c r="F838" i="3"/>
  <c r="F839" i="3"/>
  <c r="F840" i="3"/>
  <c r="F841" i="3"/>
  <c r="F842" i="3"/>
  <c r="F843" i="3"/>
  <c r="F844" i="3"/>
  <c r="F845" i="3"/>
  <c r="F846" i="3"/>
  <c r="F847" i="3"/>
  <c r="F848" i="3"/>
  <c r="F849" i="3"/>
  <c r="F850" i="3"/>
  <c r="F851" i="3"/>
  <c r="F852" i="3"/>
  <c r="F853" i="3"/>
  <c r="F854" i="3"/>
  <c r="F855" i="3"/>
  <c r="F856" i="3"/>
  <c r="F857" i="3"/>
  <c r="F858" i="3"/>
  <c r="F859" i="3"/>
  <c r="F860" i="3"/>
  <c r="F861" i="3"/>
  <c r="F862" i="3"/>
  <c r="F863" i="3"/>
  <c r="F864" i="3"/>
  <c r="F865" i="3"/>
  <c r="F866" i="3"/>
  <c r="F867" i="3"/>
  <c r="F868" i="3"/>
  <c r="F869" i="3"/>
  <c r="F870" i="3"/>
  <c r="F871" i="3"/>
  <c r="F872" i="3"/>
  <c r="F873" i="3"/>
  <c r="F874" i="3"/>
  <c r="F875" i="3"/>
  <c r="F876" i="3"/>
  <c r="F877" i="3"/>
  <c r="F878" i="3"/>
  <c r="F879" i="3"/>
  <c r="F880" i="3"/>
  <c r="F881" i="3"/>
  <c r="F882" i="3"/>
  <c r="F883" i="3"/>
  <c r="F884" i="3"/>
  <c r="F885" i="3"/>
  <c r="F886" i="3"/>
  <c r="F887" i="3"/>
  <c r="F888" i="3"/>
  <c r="F889" i="3"/>
  <c r="F890" i="3"/>
  <c r="F891" i="3"/>
  <c r="F892" i="3"/>
  <c r="F893" i="3"/>
  <c r="F894" i="3"/>
  <c r="F895" i="3"/>
  <c r="F896" i="3"/>
  <c r="F897" i="3"/>
  <c r="F898" i="3"/>
  <c r="F899" i="3"/>
  <c r="F900" i="3"/>
  <c r="F901" i="3"/>
  <c r="F902" i="3"/>
  <c r="F903" i="3"/>
  <c r="F904" i="3"/>
  <c r="F905" i="3"/>
  <c r="F906" i="3"/>
  <c r="F907" i="3"/>
  <c r="F908" i="3"/>
  <c r="F909" i="3"/>
  <c r="F910" i="3"/>
  <c r="F911" i="3"/>
  <c r="F912" i="3"/>
  <c r="F913" i="3"/>
  <c r="F914" i="3"/>
  <c r="F915" i="3"/>
  <c r="F916" i="3"/>
  <c r="F917" i="3"/>
  <c r="F918" i="3"/>
  <c r="F919" i="3"/>
  <c r="F920" i="3"/>
  <c r="F921" i="3"/>
  <c r="F922" i="3"/>
  <c r="F923" i="3"/>
  <c r="F924" i="3"/>
  <c r="F925" i="3"/>
  <c r="F926" i="3"/>
  <c r="F927" i="3"/>
  <c r="F928" i="3"/>
  <c r="F929" i="3"/>
  <c r="F930" i="3"/>
  <c r="F931" i="3"/>
  <c r="F932" i="3"/>
  <c r="F933" i="3"/>
  <c r="F934" i="3"/>
  <c r="F935" i="3"/>
  <c r="F936" i="3"/>
  <c r="F937" i="3"/>
  <c r="F938" i="3"/>
  <c r="F939" i="3"/>
  <c r="F940" i="3"/>
  <c r="F941" i="3"/>
  <c r="F942" i="3"/>
  <c r="F943" i="3"/>
  <c r="F944" i="3"/>
  <c r="F945" i="3"/>
  <c r="F946" i="3"/>
  <c r="F947" i="3"/>
  <c r="F948" i="3"/>
  <c r="F949" i="3"/>
  <c r="F950" i="3"/>
  <c r="F951" i="3"/>
  <c r="F952" i="3"/>
  <c r="F953" i="3"/>
  <c r="F954" i="3"/>
  <c r="F955" i="3"/>
  <c r="F956" i="3"/>
  <c r="F957" i="3"/>
  <c r="F958" i="3"/>
  <c r="F959" i="3"/>
  <c r="F960" i="3"/>
  <c r="F961" i="3"/>
  <c r="F962" i="3"/>
  <c r="F963" i="3"/>
  <c r="F964" i="3"/>
  <c r="F965" i="3"/>
  <c r="F966" i="3"/>
  <c r="F967" i="3"/>
  <c r="F968" i="3"/>
  <c r="F969" i="3"/>
  <c r="F970" i="3"/>
  <c r="F971" i="3"/>
  <c r="F972" i="3"/>
  <c r="F973" i="3"/>
  <c r="F974" i="3"/>
  <c r="F975" i="3"/>
  <c r="F976" i="3"/>
  <c r="F977" i="3"/>
  <c r="F978" i="3"/>
  <c r="F979" i="3"/>
  <c r="F980" i="3"/>
  <c r="F981" i="3"/>
  <c r="F982" i="3"/>
  <c r="F983" i="3"/>
  <c r="F984" i="3"/>
  <c r="F985" i="3"/>
  <c r="F986" i="3"/>
  <c r="F987" i="3"/>
  <c r="F988" i="3"/>
  <c r="F989" i="3"/>
  <c r="F990" i="3"/>
  <c r="F991" i="3"/>
  <c r="F992" i="3"/>
  <c r="F993" i="3"/>
  <c r="F994" i="3"/>
  <c r="F995" i="3"/>
  <c r="F996" i="3"/>
  <c r="F997" i="3"/>
  <c r="F998" i="3"/>
  <c r="F999" i="3"/>
  <c r="F1000" i="3"/>
  <c r="F1001" i="3"/>
  <c r="F1002" i="3"/>
  <c r="F1003" i="3"/>
  <c r="F1004" i="3"/>
  <c r="F1005" i="3"/>
  <c r="F1006" i="3"/>
  <c r="F1007" i="3"/>
  <c r="F1008" i="3"/>
  <c r="F1009" i="3"/>
  <c r="F1010" i="3"/>
  <c r="F1011" i="3"/>
  <c r="F1012" i="3"/>
  <c r="F1013" i="3"/>
  <c r="F1014" i="3"/>
  <c r="F1015" i="3"/>
  <c r="F1016" i="3"/>
  <c r="F1017" i="3"/>
  <c r="F1018" i="3"/>
  <c r="F1019" i="3"/>
  <c r="F1020" i="3"/>
  <c r="F1021" i="3"/>
  <c r="F1022" i="3"/>
  <c r="F1023" i="3"/>
  <c r="F1024" i="3"/>
  <c r="F1025" i="3"/>
  <c r="F1026" i="3"/>
  <c r="F1027" i="3"/>
  <c r="F1028" i="3"/>
  <c r="F1029" i="3"/>
  <c r="F1030" i="3"/>
  <c r="F1031" i="3"/>
  <c r="F1032" i="3"/>
  <c r="F1033" i="3"/>
  <c r="F1034" i="3"/>
  <c r="F1035" i="3"/>
  <c r="F1036" i="3"/>
  <c r="F1037" i="3"/>
  <c r="F1038" i="3"/>
  <c r="F1039" i="3"/>
  <c r="F1040" i="3"/>
  <c r="F1041" i="3"/>
  <c r="F1044" i="3"/>
  <c r="F1045" i="3"/>
  <c r="F1046" i="3"/>
  <c r="F1047" i="3"/>
  <c r="F1048" i="3"/>
  <c r="F1049" i="3"/>
  <c r="F1050" i="3"/>
  <c r="F1051" i="3"/>
  <c r="F1052" i="3"/>
  <c r="F1053" i="3"/>
  <c r="F1054" i="3"/>
  <c r="F1055" i="3"/>
  <c r="F1056" i="3"/>
  <c r="F716" i="3"/>
  <c r="F597" i="3"/>
  <c r="F598" i="3"/>
  <c r="F600" i="3"/>
  <c r="F601" i="3"/>
  <c r="F602" i="3"/>
  <c r="F603" i="3"/>
  <c r="F607" i="3"/>
  <c r="F609"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50" i="3"/>
  <c r="F651" i="3"/>
  <c r="F652" i="3"/>
  <c r="F654" i="3"/>
  <c r="F655" i="3"/>
  <c r="F656" i="3"/>
  <c r="F658" i="3"/>
  <c r="F659" i="3"/>
  <c r="F660" i="3"/>
  <c r="F662" i="3"/>
  <c r="F663" i="3"/>
  <c r="F664" i="3"/>
  <c r="F666" i="3"/>
  <c r="F667" i="3"/>
  <c r="F668" i="3"/>
  <c r="F669" i="3"/>
  <c r="F596" i="3"/>
  <c r="F559" i="3"/>
  <c r="F560" i="3"/>
  <c r="F561" i="3"/>
  <c r="F563" i="3"/>
  <c r="F564" i="3"/>
  <c r="F565" i="3"/>
  <c r="F567" i="3"/>
  <c r="F568" i="3"/>
  <c r="F569" i="3"/>
  <c r="F571" i="3"/>
  <c r="F572" i="3"/>
  <c r="F573" i="3"/>
  <c r="F574" i="3"/>
  <c r="F575" i="3"/>
  <c r="F576" i="3"/>
  <c r="F577" i="3"/>
  <c r="F578" i="3"/>
  <c r="F579" i="3"/>
  <c r="F580" i="3"/>
  <c r="F581" i="3"/>
  <c r="F582" i="3"/>
  <c r="F583" i="3"/>
  <c r="F584" i="3"/>
  <c r="F585" i="3"/>
  <c r="F558" i="3"/>
  <c r="F474" i="3"/>
  <c r="F475" i="3"/>
  <c r="F477" i="3"/>
  <c r="F480" i="3"/>
  <c r="F481" i="3"/>
  <c r="F482" i="3"/>
  <c r="F483" i="3"/>
  <c r="F484" i="3"/>
  <c r="F485" i="3"/>
  <c r="F486" i="3"/>
  <c r="F487" i="3"/>
  <c r="F488" i="3"/>
  <c r="F489" i="3"/>
  <c r="F490" i="3"/>
  <c r="F491" i="3"/>
  <c r="F492" i="3"/>
  <c r="F495" i="3"/>
  <c r="F496"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289" i="3"/>
  <c r="F291" i="3"/>
  <c r="F292" i="3"/>
  <c r="F293" i="3"/>
  <c r="F294" i="3"/>
  <c r="F295" i="3"/>
  <c r="F298" i="3"/>
  <c r="F299" i="3"/>
  <c r="F300" i="3"/>
  <c r="F301" i="3"/>
  <c r="F302" i="3"/>
  <c r="F304" i="3"/>
  <c r="F305" i="3"/>
  <c r="F306" i="3"/>
  <c r="F307" i="3"/>
  <c r="F309" i="3"/>
  <c r="F310" i="3"/>
  <c r="F311" i="3"/>
  <c r="F312" i="3"/>
  <c r="F313" i="3"/>
  <c r="F314" i="3"/>
  <c r="F315" i="3"/>
  <c r="F316" i="3"/>
  <c r="F320" i="3"/>
  <c r="F321" i="3"/>
  <c r="F322" i="3"/>
  <c r="F323" i="3"/>
  <c r="F324" i="3"/>
  <c r="F325" i="3"/>
  <c r="F326" i="3"/>
  <c r="F327" i="3"/>
  <c r="F331" i="3"/>
  <c r="F332" i="3"/>
  <c r="F333" i="3"/>
  <c r="F334" i="3"/>
  <c r="F335" i="3"/>
  <c r="F336" i="3"/>
  <c r="F337" i="3"/>
  <c r="F338" i="3"/>
  <c r="F339" i="3"/>
  <c r="F344" i="3"/>
  <c r="F345" i="3"/>
  <c r="F346" i="3"/>
  <c r="F347" i="3"/>
  <c r="F348" i="3"/>
  <c r="F349" i="3"/>
  <c r="F350" i="3"/>
  <c r="F351" i="3"/>
  <c r="F355" i="3"/>
  <c r="F356" i="3"/>
  <c r="F357" i="3"/>
  <c r="F358" i="3"/>
  <c r="F359" i="3"/>
  <c r="F360" i="3"/>
  <c r="F361" i="3"/>
  <c r="F362" i="3"/>
  <c r="F363" i="3"/>
  <c r="F367" i="3"/>
  <c r="F368" i="3"/>
  <c r="F369" i="3"/>
  <c r="F370" i="3"/>
  <c r="F371" i="3"/>
  <c r="F372" i="3"/>
  <c r="F373" i="3"/>
  <c r="F374" i="3"/>
  <c r="F375" i="3"/>
  <c r="F380" i="3"/>
  <c r="F381" i="3"/>
  <c r="F382" i="3"/>
  <c r="F383" i="3"/>
  <c r="F384" i="3"/>
  <c r="F385" i="3"/>
  <c r="F386" i="3"/>
  <c r="F387" i="3"/>
  <c r="F388" i="3"/>
  <c r="F389" i="3"/>
  <c r="F390" i="3"/>
  <c r="F391" i="3"/>
  <c r="F392" i="3"/>
  <c r="F393" i="3"/>
  <c r="F394" i="3"/>
  <c r="F396" i="3"/>
  <c r="F397" i="3"/>
  <c r="F398"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288" i="3"/>
  <c r="F25" i="3"/>
  <c r="F26" i="3"/>
  <c r="F27" i="3"/>
  <c r="F28" i="3"/>
  <c r="F29" i="3"/>
  <c r="F30" i="3"/>
  <c r="F31" i="3"/>
  <c r="F32" i="3"/>
  <c r="F34" i="3"/>
  <c r="F35" i="3"/>
  <c r="F36" i="3"/>
  <c r="F37" i="3"/>
  <c r="F38" i="3"/>
  <c r="F39" i="3"/>
  <c r="F40" i="3"/>
  <c r="F41" i="3"/>
  <c r="F43" i="3"/>
  <c r="F44" i="3"/>
  <c r="F45" i="3"/>
  <c r="F46" i="3"/>
  <c r="F47" i="3"/>
  <c r="F48" i="3"/>
  <c r="F49" i="3"/>
  <c r="F50" i="3"/>
  <c r="F51" i="3"/>
  <c r="F52" i="3"/>
  <c r="F53" i="3"/>
  <c r="F54" i="3"/>
  <c r="F55" i="3"/>
  <c r="F56" i="3"/>
  <c r="F57" i="3"/>
  <c r="F58" i="3"/>
  <c r="F59" i="3"/>
  <c r="F60" i="3"/>
  <c r="F61" i="3"/>
  <c r="F62" i="3"/>
  <c r="F63" i="3"/>
  <c r="F64" i="3"/>
  <c r="F65" i="3"/>
  <c r="F66" i="3"/>
  <c r="F67" i="3"/>
  <c r="F68"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6" i="3"/>
  <c r="F107" i="3"/>
  <c r="F108" i="3"/>
  <c r="F109" i="3"/>
  <c r="F110" i="3"/>
  <c r="F111" i="3"/>
  <c r="F113" i="3"/>
  <c r="F114" i="3"/>
  <c r="F115" i="3"/>
  <c r="F116" i="3"/>
  <c r="F117" i="3"/>
  <c r="F118" i="3"/>
  <c r="F119" i="3"/>
  <c r="F120" i="3"/>
  <c r="F121" i="3"/>
  <c r="F122" i="3"/>
  <c r="F123" i="3"/>
  <c r="F124" i="3"/>
  <c r="F125" i="3"/>
  <c r="F127" i="3"/>
  <c r="F128" i="3"/>
  <c r="F129" i="3"/>
  <c r="F130" i="3"/>
  <c r="F131" i="3"/>
  <c r="F132" i="3"/>
  <c r="F134" i="3"/>
  <c r="F135" i="3"/>
  <c r="F136" i="3"/>
  <c r="F137" i="3"/>
  <c r="F138" i="3"/>
  <c r="F139" i="3"/>
  <c r="F140" i="3"/>
  <c r="F151" i="3"/>
  <c r="F152" i="3"/>
  <c r="F153" i="3"/>
  <c r="F154" i="3"/>
  <c r="F155" i="3"/>
  <c r="F156" i="3"/>
  <c r="F157" i="3"/>
  <c r="F161" i="3"/>
  <c r="F162" i="3"/>
  <c r="F163" i="3"/>
  <c r="F164" i="3"/>
  <c r="F165" i="3"/>
  <c r="F166"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8" i="3"/>
  <c r="F199" i="3"/>
  <c r="F200" i="3"/>
  <c r="F201" i="3"/>
  <c r="F202" i="3"/>
  <c r="F203" i="3"/>
  <c r="F204" i="3"/>
  <c r="F205" i="3"/>
  <c r="F206" i="3"/>
  <c r="F207" i="3"/>
  <c r="F208" i="3"/>
  <c r="F209" i="3"/>
  <c r="F210" i="3"/>
  <c r="F211" i="3"/>
  <c r="F212" i="3"/>
  <c r="F213" i="3"/>
  <c r="F214" i="3"/>
  <c r="F215" i="3"/>
  <c r="F216" i="3"/>
  <c r="F217" i="3"/>
  <c r="F218" i="3"/>
  <c r="F219" i="3"/>
  <c r="F220" i="3"/>
  <c r="F223" i="3"/>
  <c r="F224" i="3"/>
  <c r="F225" i="3"/>
  <c r="F226" i="3"/>
  <c r="F227"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4" i="3"/>
  <c r="A612" i="3"/>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891" i="2"/>
  <c r="F892" i="2"/>
  <c r="F893" i="2"/>
  <c r="F894" i="2"/>
  <c r="F895" i="2"/>
  <c r="F897" i="2"/>
  <c r="F898" i="2"/>
  <c r="F899" i="2"/>
  <c r="F900" i="2"/>
  <c r="F901" i="2"/>
  <c r="F902" i="2"/>
  <c r="F903" i="2"/>
  <c r="F904" i="2"/>
  <c r="F905" i="2"/>
  <c r="F906"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70" i="2"/>
  <c r="F971" i="2"/>
  <c r="F972" i="2"/>
  <c r="F973" i="2"/>
  <c r="F974" i="2"/>
  <c r="F975" i="2"/>
  <c r="F976"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849" i="2"/>
  <c r="F850" i="2"/>
  <c r="F851" i="2"/>
  <c r="F852" i="2"/>
  <c r="F853" i="2"/>
  <c r="F854" i="2"/>
  <c r="F855" i="2"/>
  <c r="F856" i="2"/>
  <c r="F857" i="2"/>
  <c r="F858" i="2"/>
  <c r="F859" i="2"/>
  <c r="F860" i="2"/>
  <c r="F861" i="2"/>
  <c r="F862" i="2"/>
  <c r="F863" i="2"/>
  <c r="F864" i="2"/>
  <c r="F865" i="2"/>
  <c r="F866" i="2"/>
  <c r="F867" i="2"/>
  <c r="F868" i="2"/>
  <c r="F869" i="2"/>
  <c r="F848" i="2"/>
  <c r="F415" i="2"/>
  <c r="F416" i="2"/>
  <c r="F417" i="2"/>
  <c r="F418" i="2"/>
  <c r="F419" i="2"/>
  <c r="F420" i="2"/>
  <c r="F421" i="2"/>
  <c r="F422" i="2"/>
  <c r="F423"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65" i="2"/>
  <c r="F466" i="2"/>
  <c r="F467" i="2"/>
  <c r="F468" i="2"/>
  <c r="F469" i="2"/>
  <c r="F470" i="2"/>
  <c r="F471" i="2"/>
  <c r="F472" i="2"/>
  <c r="F473" i="2"/>
  <c r="F474" i="2"/>
  <c r="F475" i="2"/>
  <c r="F476" i="2"/>
  <c r="F478" i="2"/>
  <c r="F479" i="2"/>
  <c r="F480" i="2"/>
  <c r="F481" i="2"/>
  <c r="F483" i="2"/>
  <c r="F494" i="2"/>
  <c r="F495" i="2"/>
  <c r="F496" i="2"/>
  <c r="F499" i="2"/>
  <c r="F500" i="2"/>
  <c r="F501" i="2"/>
  <c r="F503" i="2"/>
  <c r="F515" i="2"/>
  <c r="F516" i="2"/>
  <c r="F517" i="2"/>
  <c r="F518" i="2"/>
  <c r="F519" i="2"/>
  <c r="F524" i="2"/>
  <c r="F525" i="2"/>
  <c r="F526" i="2"/>
  <c r="F527" i="2"/>
  <c r="F528" i="2"/>
  <c r="F529" i="2"/>
  <c r="F534" i="2"/>
  <c r="F535" i="2"/>
  <c r="F536" i="2"/>
  <c r="F537" i="2"/>
  <c r="F538" i="2"/>
  <c r="F539" i="2"/>
  <c r="F542" i="2"/>
  <c r="F543" i="2"/>
  <c r="F544" i="2"/>
  <c r="F545" i="2"/>
  <c r="F546" i="2"/>
  <c r="F547" i="2"/>
  <c r="F550" i="2"/>
  <c r="F551" i="2"/>
  <c r="F552" i="2"/>
  <c r="F553" i="2"/>
  <c r="F554" i="2"/>
  <c r="F555" i="2"/>
  <c r="F559" i="2"/>
  <c r="F560" i="2"/>
  <c r="F561" i="2"/>
  <c r="F562" i="2"/>
  <c r="F563" i="2"/>
  <c r="F564" i="2"/>
  <c r="F565" i="2"/>
  <c r="F566" i="2"/>
  <c r="F567" i="2"/>
  <c r="F568" i="2"/>
  <c r="F569" i="2"/>
  <c r="F570" i="2"/>
  <c r="F571" i="2"/>
  <c r="F572" i="2"/>
  <c r="F573" i="2"/>
  <c r="F577" i="2"/>
  <c r="F578" i="2"/>
  <c r="F579" i="2"/>
  <c r="F580" i="2"/>
  <c r="F581" i="2"/>
  <c r="F582" i="2"/>
  <c r="F586" i="2"/>
  <c r="F587" i="2"/>
  <c r="F588" i="2"/>
  <c r="F589" i="2"/>
  <c r="F590" i="2"/>
  <c r="F591" i="2"/>
  <c r="F595" i="2"/>
  <c r="F596" i="2"/>
  <c r="F597" i="2"/>
  <c r="F598" i="2"/>
  <c r="F599" i="2"/>
  <c r="F600" i="2"/>
  <c r="F604" i="2"/>
  <c r="F605" i="2"/>
  <c r="F606" i="2"/>
  <c r="F607" i="2"/>
  <c r="F608" i="2"/>
  <c r="F609" i="2"/>
  <c r="F610" i="2"/>
  <c r="F611" i="2"/>
  <c r="F612" i="2"/>
  <c r="F616" i="2"/>
  <c r="F617" i="2"/>
  <c r="F618" i="2"/>
  <c r="F619" i="2"/>
  <c r="F620" i="2"/>
  <c r="F621" i="2"/>
  <c r="F622" i="2"/>
  <c r="F623" i="2"/>
  <c r="F624" i="2"/>
  <c r="F625" i="2"/>
  <c r="F626" i="2"/>
  <c r="F627" i="2"/>
  <c r="F628" i="2"/>
  <c r="F630" i="2"/>
  <c r="F631" i="2"/>
  <c r="F632" i="2"/>
  <c r="F633" i="2"/>
  <c r="F634" i="2"/>
  <c r="F635"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9" i="2"/>
  <c r="F670" i="2"/>
  <c r="F671" i="2"/>
  <c r="F672" i="2"/>
  <c r="F673" i="2"/>
  <c r="F674" i="2"/>
  <c r="F675" i="2"/>
  <c r="F676" i="2"/>
  <c r="F677" i="2"/>
  <c r="F678" i="2"/>
  <c r="F679" i="2"/>
  <c r="F680" i="2"/>
  <c r="F683" i="2"/>
  <c r="F685" i="2"/>
  <c r="F686" i="2"/>
  <c r="F687" i="2"/>
  <c r="F688" i="2"/>
  <c r="F689" i="2"/>
  <c r="F691" i="2"/>
  <c r="F692" i="2"/>
  <c r="F744" i="2"/>
  <c r="F745" i="2"/>
  <c r="F746" i="2"/>
  <c r="F747" i="2"/>
  <c r="F748" i="2"/>
  <c r="F749" i="2"/>
  <c r="F750" i="2"/>
  <c r="F751" i="2"/>
  <c r="F753" i="2"/>
  <c r="F754" i="2"/>
  <c r="F755" i="2"/>
  <c r="F756" i="2"/>
  <c r="F758" i="2"/>
  <c r="F759" i="2"/>
  <c r="F760" i="2"/>
  <c r="F761" i="2"/>
  <c r="F762" i="2"/>
  <c r="F763" i="2"/>
  <c r="F805" i="2"/>
  <c r="F806" i="2"/>
  <c r="F807" i="2"/>
  <c r="F808" i="2"/>
  <c r="F809" i="2"/>
  <c r="F810" i="2"/>
  <c r="F811" i="2"/>
  <c r="F812" i="2"/>
  <c r="F813" i="2"/>
  <c r="F814" i="2"/>
  <c r="F815" i="2"/>
  <c r="F816" i="2"/>
  <c r="F817" i="2"/>
  <c r="F818" i="2"/>
  <c r="F819" i="2"/>
  <c r="F820" i="2"/>
  <c r="F821" i="2"/>
  <c r="F822" i="2"/>
  <c r="F823" i="2"/>
  <c r="F824" i="2"/>
  <c r="F825" i="2"/>
  <c r="F826" i="2"/>
  <c r="F827" i="2"/>
  <c r="F301" i="2"/>
  <c r="F304" i="2"/>
  <c r="F305" i="2"/>
  <c r="F306" i="2"/>
  <c r="F307" i="2"/>
  <c r="F308" i="2"/>
  <c r="F309" i="2"/>
  <c r="F310" i="2"/>
  <c r="F311" i="2"/>
  <c r="F312" i="2"/>
  <c r="F313" i="2"/>
  <c r="F314" i="2"/>
  <c r="F315" i="2"/>
  <c r="F317" i="2"/>
  <c r="F318" i="2"/>
  <c r="F316" i="2"/>
  <c r="F319" i="2"/>
  <c r="F320" i="2"/>
  <c r="F321" i="2"/>
  <c r="F322" i="2"/>
  <c r="F323" i="2"/>
  <c r="F324" i="2"/>
  <c r="F325" i="2"/>
  <c r="F326" i="2"/>
  <c r="F327" i="2"/>
  <c r="F328" i="2"/>
  <c r="F329" i="2"/>
  <c r="F330" i="2"/>
  <c r="F331" i="2"/>
  <c r="F333" i="2"/>
  <c r="F334" i="2"/>
  <c r="F332" i="2"/>
  <c r="F335" i="2"/>
  <c r="F336" i="2"/>
  <c r="F337" i="2"/>
  <c r="F338" i="2"/>
  <c r="F339" i="2"/>
  <c r="F340" i="2"/>
  <c r="F341" i="2"/>
  <c r="F342" i="2"/>
  <c r="F343" i="2"/>
  <c r="F344" i="2"/>
  <c r="F345" i="2"/>
  <c r="F346" i="2"/>
  <c r="F347" i="2"/>
  <c r="F348" i="2"/>
  <c r="F350" i="2"/>
  <c r="F351" i="2"/>
  <c r="F352" i="2"/>
  <c r="F349" i="2"/>
  <c r="F353" i="2"/>
  <c r="F354" i="2"/>
  <c r="F355" i="2"/>
  <c r="F356" i="2"/>
  <c r="F357" i="2"/>
  <c r="F358" i="2"/>
  <c r="F359" i="2"/>
  <c r="F360" i="2"/>
  <c r="F361" i="2"/>
  <c r="F362" i="2"/>
  <c r="F363" i="2"/>
  <c r="F364" i="2"/>
  <c r="F365" i="2"/>
  <c r="F366" i="2"/>
  <c r="F367" i="2"/>
  <c r="F368" i="2"/>
  <c r="F369" i="2"/>
  <c r="F370" i="2"/>
  <c r="F372" i="2"/>
  <c r="F373" i="2"/>
  <c r="F302" i="2"/>
  <c r="F268" i="2"/>
  <c r="F269" i="2"/>
  <c r="F270" i="2"/>
  <c r="F271" i="2"/>
  <c r="F272" i="2"/>
  <c r="F273" i="2"/>
  <c r="F274" i="2"/>
  <c r="F275" i="2"/>
  <c r="F276" i="2"/>
  <c r="F277" i="2"/>
  <c r="F278" i="2"/>
  <c r="F279" i="2"/>
  <c r="F280" i="2"/>
  <c r="F281" i="2"/>
  <c r="F282" i="2"/>
  <c r="F283" i="2"/>
  <c r="F267" i="2"/>
  <c r="F252" i="2"/>
  <c r="F253" i="2"/>
  <c r="F254" i="2"/>
  <c r="F255" i="2"/>
  <c r="F256" i="2"/>
  <c r="F257" i="2"/>
  <c r="F258" i="2"/>
  <c r="F251"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89" i="2"/>
  <c r="F90" i="2"/>
  <c r="F91" i="2"/>
  <c r="F92" i="2"/>
  <c r="F93" i="2"/>
  <c r="F94" i="2"/>
  <c r="F95" i="2"/>
  <c r="F96" i="2"/>
  <c r="F97" i="2"/>
  <c r="F98" i="2"/>
  <c r="F99" i="2"/>
  <c r="F100" i="2"/>
  <c r="F101" i="2"/>
  <c r="F102" i="2"/>
  <c r="F103" i="2"/>
  <c r="F104" i="2"/>
  <c r="F105" i="2"/>
  <c r="F106" i="2"/>
  <c r="F107" i="2"/>
  <c r="F108" i="2"/>
  <c r="F109" i="2"/>
  <c r="F111" i="2"/>
  <c r="F112" i="2"/>
  <c r="F113" i="2"/>
  <c r="F114" i="2"/>
  <c r="F116" i="2"/>
  <c r="F117" i="2"/>
  <c r="F118" i="2"/>
  <c r="F119" i="2"/>
  <c r="F120"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61" i="2"/>
  <c r="F62" i="2"/>
  <c r="F63" i="2"/>
  <c r="F64" i="2"/>
  <c r="F65" i="2"/>
  <c r="F66" i="2"/>
  <c r="F67" i="2"/>
  <c r="F68" i="2"/>
  <c r="F69" i="2"/>
  <c r="F70" i="2"/>
  <c r="F71" i="2"/>
  <c r="F72" i="2"/>
  <c r="F73" i="2"/>
  <c r="F74" i="2"/>
  <c r="F75" i="2"/>
  <c r="F76" i="2"/>
  <c r="F77" i="2"/>
  <c r="F78" i="2"/>
  <c r="F79" i="2"/>
  <c r="F80" i="2"/>
  <c r="F13" i="2"/>
  <c r="F15" i="6"/>
  <c r="F16" i="6"/>
  <c r="F17" i="6"/>
  <c r="F18"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42" i="6"/>
  <c r="F143" i="6"/>
  <c r="F144" i="6"/>
  <c r="F145" i="6"/>
  <c r="F146" i="6"/>
  <c r="F147" i="6"/>
  <c r="F148" i="6"/>
  <c r="F149" i="6"/>
  <c r="F150" i="6"/>
  <c r="F151" i="6"/>
  <c r="F152" i="6"/>
  <c r="F153" i="6"/>
  <c r="F154" i="6"/>
  <c r="F155" i="6"/>
  <c r="F159" i="6"/>
  <c r="F160" i="6"/>
  <c r="F161" i="6"/>
  <c r="F164" i="6"/>
  <c r="F165" i="6"/>
  <c r="F167" i="6"/>
  <c r="F168" i="6"/>
  <c r="F169" i="6"/>
  <c r="F170" i="6"/>
  <c r="F171" i="6"/>
  <c r="F172" i="6"/>
  <c r="F173" i="6"/>
  <c r="F174" i="6"/>
  <c r="F175" i="6"/>
  <c r="F176" i="6"/>
  <c r="F177" i="6"/>
  <c r="F178" i="6"/>
  <c r="F179" i="6"/>
  <c r="F180" i="6"/>
  <c r="F181" i="6"/>
  <c r="F182" i="6"/>
  <c r="F183" i="6"/>
  <c r="F186" i="6"/>
  <c r="F187" i="6"/>
  <c r="F188" i="6"/>
  <c r="F189" i="6"/>
  <c r="F190" i="6"/>
  <c r="F191" i="6"/>
  <c r="F192" i="6"/>
  <c r="F193" i="6"/>
  <c r="F194" i="6"/>
  <c r="F195" i="6"/>
  <c r="F196" i="6"/>
  <c r="F198" i="6"/>
  <c r="F199" i="6"/>
  <c r="F200" i="6"/>
  <c r="F201" i="6"/>
  <c r="F202" i="6"/>
  <c r="F203" i="6"/>
  <c r="F204" i="6"/>
  <c r="F205" i="6"/>
  <c r="F207" i="6"/>
  <c r="F208" i="6"/>
  <c r="F209" i="6"/>
  <c r="F210" i="6"/>
  <c r="F211" i="6"/>
  <c r="F212" i="6"/>
  <c r="F213" i="6"/>
  <c r="F214" i="6"/>
  <c r="F215" i="6"/>
  <c r="F216" i="6"/>
  <c r="F217" i="6"/>
  <c r="F218" i="6"/>
  <c r="F219" i="6"/>
  <c r="F220" i="6"/>
  <c r="F221" i="6"/>
  <c r="F222" i="6"/>
  <c r="F223"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3" i="6"/>
  <c r="F264" i="6"/>
  <c r="F265" i="6"/>
  <c r="F266" i="6"/>
  <c r="F268" i="6"/>
  <c r="F269" i="6"/>
  <c r="F270" i="6"/>
  <c r="F271" i="6"/>
  <c r="F272" i="6"/>
  <c r="F273" i="6"/>
  <c r="F274" i="6"/>
  <c r="F275" i="6"/>
  <c r="F276" i="6"/>
  <c r="F277" i="6"/>
  <c r="F278" i="6"/>
  <c r="F279" i="6"/>
  <c r="F280" i="6"/>
  <c r="F281" i="6"/>
  <c r="F282" i="6"/>
  <c r="F283" i="6"/>
  <c r="F14" i="6"/>
  <c r="F407" i="2" l="1"/>
  <c r="F1153" i="2" s="1"/>
  <c r="A273" i="7"/>
  <c r="A141" i="10"/>
  <c r="A146" i="10" s="1"/>
  <c r="A150" i="10" s="1"/>
  <c r="A152" i="10" s="1"/>
  <c r="A154" i="10" s="1"/>
  <c r="A157" i="10"/>
  <c r="F260" i="2"/>
  <c r="F1151" i="2" s="1"/>
  <c r="F82" i="2"/>
  <c r="F1148" i="2" s="1"/>
  <c r="F285" i="2"/>
  <c r="F1152" i="2" s="1"/>
  <c r="F871" i="2"/>
  <c r="F1155" i="2" s="1"/>
  <c r="D476" i="3"/>
  <c r="F476" i="3" s="1"/>
  <c r="D303" i="3"/>
  <c r="F303" i="3" s="1"/>
  <c r="F454" i="3"/>
  <c r="D896" i="2"/>
  <c r="F896" i="2" s="1"/>
  <c r="A278" i="7" l="1"/>
  <c r="A158" i="10"/>
  <c r="A169" i="10" s="1"/>
  <c r="A175" i="10"/>
  <c r="D1308" i="3"/>
  <c r="F1308" i="3" s="1"/>
  <c r="D1292" i="3"/>
  <c r="F1292" i="3" s="1"/>
  <c r="D1262" i="3"/>
  <c r="F1262" i="3" s="1"/>
  <c r="D1234" i="3"/>
  <c r="F1234" i="3" s="1"/>
  <c r="D1193" i="3"/>
  <c r="F1193" i="3" s="1"/>
  <c r="D1178" i="3"/>
  <c r="F1178" i="3" s="1"/>
  <c r="D1163" i="3"/>
  <c r="F1163" i="3" s="1"/>
  <c r="D653" i="3"/>
  <c r="F653" i="3" s="1"/>
  <c r="D648" i="3"/>
  <c r="F648" i="3" s="1"/>
  <c r="D649" i="3"/>
  <c r="F649" i="3" s="1"/>
  <c r="D647" i="3"/>
  <c r="F647" i="3" s="1"/>
  <c r="D599" i="3"/>
  <c r="F599" i="3" s="1"/>
  <c r="D608" i="3"/>
  <c r="F608" i="3" s="1"/>
  <c r="D606" i="3"/>
  <c r="F606" i="3" s="1"/>
  <c r="D605" i="3"/>
  <c r="F605" i="3" s="1"/>
  <c r="D604" i="3"/>
  <c r="F604" i="3" s="1"/>
  <c r="F566" i="3"/>
  <c r="A284" i="7" l="1"/>
  <c r="A289" i="7" s="1"/>
  <c r="A295" i="7" s="1"/>
  <c r="A300" i="7" s="1"/>
  <c r="A336" i="10"/>
  <c r="A176" i="10"/>
  <c r="A207" i="10" s="1"/>
  <c r="A226" i="10" s="1"/>
  <c r="A235" i="10" s="1"/>
  <c r="A237" i="10" s="1"/>
  <c r="A239" i="10" s="1"/>
  <c r="A248" i="10" s="1"/>
  <c r="A250" i="10" s="1"/>
  <c r="A252" i="10" s="1"/>
  <c r="A261" i="10" s="1"/>
  <c r="A271" i="10" s="1"/>
  <c r="A279" i="10" s="1"/>
  <c r="A282" i="10" s="1"/>
  <c r="A284" i="10" s="1"/>
  <c r="A287" i="10" s="1"/>
  <c r="A290" i="10" s="1"/>
  <c r="A296" i="10" s="1"/>
  <c r="A299" i="10" s="1"/>
  <c r="A302" i="10" s="1"/>
  <c r="A306" i="10" s="1"/>
  <c r="A309" i="10" s="1"/>
  <c r="A313" i="10" s="1"/>
  <c r="A316" i="10" s="1"/>
  <c r="A318" i="10" s="1"/>
  <c r="A320" i="10" s="1"/>
  <c r="A322" i="10" s="1"/>
  <c r="A324" i="10" s="1"/>
  <c r="A326" i="10" s="1"/>
  <c r="A328" i="10" s="1"/>
  <c r="A330" i="10" s="1"/>
  <c r="A332" i="10" s="1"/>
  <c r="A334" i="10" s="1"/>
  <c r="D661" i="3"/>
  <c r="F661" i="3" s="1"/>
  <c r="D657" i="3"/>
  <c r="D610" i="3"/>
  <c r="F610" i="3" s="1"/>
  <c r="A90" i="2"/>
  <c r="D88" i="2"/>
  <c r="F88" i="2" s="1"/>
  <c r="F271" i="3"/>
  <c r="F1043" i="3"/>
  <c r="F1042" i="3"/>
  <c r="D414" i="2"/>
  <c r="F414" i="2" s="1"/>
  <c r="D413" i="2"/>
  <c r="F413" i="2" s="1"/>
  <c r="A305" i="7" l="1"/>
  <c r="A309" i="7" s="1"/>
  <c r="A313" i="7" s="1"/>
  <c r="A653" i="10"/>
  <c r="A337" i="10"/>
  <c r="A366" i="10" s="1"/>
  <c r="A373" i="10" s="1"/>
  <c r="A380" i="10" s="1"/>
  <c r="A394" i="10" s="1"/>
  <c r="A414" i="10" s="1"/>
  <c r="A429" i="10" s="1"/>
  <c r="A443" i="10" s="1"/>
  <c r="A457" i="10" s="1"/>
  <c r="A476" i="10" s="1"/>
  <c r="A488" i="10" s="1"/>
  <c r="A500" i="10" s="1"/>
  <c r="A512" i="10" s="1"/>
  <c r="A526" i="10" s="1"/>
  <c r="A537" i="10" s="1"/>
  <c r="A589" i="10" s="1"/>
  <c r="A594" i="10" s="1"/>
  <c r="A601" i="10" s="1"/>
  <c r="A605" i="10" s="1"/>
  <c r="A607" i="10" s="1"/>
  <c r="A610" i="10" s="1"/>
  <c r="A613" i="10" s="1"/>
  <c r="A615" i="10" s="1"/>
  <c r="A617" i="10" s="1"/>
  <c r="A623" i="10" s="1"/>
  <c r="A625" i="10" s="1"/>
  <c r="A627" i="10" s="1"/>
  <c r="A629" i="10" s="1"/>
  <c r="A631" i="10" s="1"/>
  <c r="A633" i="10" s="1"/>
  <c r="F1062" i="3"/>
  <c r="F1636" i="3" s="1"/>
  <c r="D665" i="3"/>
  <c r="F665" i="3" s="1"/>
  <c r="F657" i="3"/>
  <c r="B89" i="4"/>
  <c r="B38" i="4"/>
  <c r="A38" i="4"/>
  <c r="B24" i="4"/>
  <c r="B26" i="4"/>
  <c r="B27" i="4"/>
  <c r="B28" i="4"/>
  <c r="B29" i="4"/>
  <c r="B30" i="4"/>
  <c r="B23" i="4"/>
  <c r="A24" i="4"/>
  <c r="A25" i="4"/>
  <c r="A26" i="4"/>
  <c r="A27" i="4"/>
  <c r="A28" i="4"/>
  <c r="A29" i="4"/>
  <c r="A30" i="4"/>
  <c r="A23" i="4"/>
  <c r="B11" i="4"/>
  <c r="B12" i="4"/>
  <c r="B13" i="4"/>
  <c r="B14" i="4"/>
  <c r="B15" i="4"/>
  <c r="B16" i="4"/>
  <c r="B17" i="4"/>
  <c r="B18" i="4"/>
  <c r="B19" i="4"/>
  <c r="B10" i="4"/>
  <c r="A18" i="4"/>
  <c r="A19" i="4"/>
  <c r="A11" i="4"/>
  <c r="A12" i="4"/>
  <c r="A13" i="4"/>
  <c r="A14" i="4"/>
  <c r="A15" i="4"/>
  <c r="A16" i="4"/>
  <c r="A17" i="4"/>
  <c r="A10" i="4"/>
  <c r="B39" i="4"/>
  <c r="A39" i="4"/>
  <c r="B37" i="4"/>
  <c r="A37" i="4"/>
  <c r="F595" i="3"/>
  <c r="A722" i="3"/>
  <c r="A560" i="3"/>
  <c r="A484" i="3"/>
  <c r="F828" i="2"/>
  <c r="F259" i="2"/>
  <c r="G236" i="2"/>
  <c r="A892" i="2"/>
  <c r="A850" i="2"/>
  <c r="A854" i="2" s="1"/>
  <c r="A860" i="2" s="1"/>
  <c r="A867" i="2" s="1"/>
  <c r="A419" i="2"/>
  <c r="A429" i="2" s="1"/>
  <c r="A433" i="2" s="1"/>
  <c r="A437" i="2" s="1"/>
  <c r="A441" i="2" s="1"/>
  <c r="A135" i="2"/>
  <c r="A318" i="7" l="1"/>
  <c r="A654" i="10"/>
  <c r="A662" i="10" s="1"/>
  <c r="A674" i="10" s="1"/>
  <c r="A680" i="10" s="1"/>
  <c r="A685" i="10" s="1"/>
  <c r="A688" i="10" s="1"/>
  <c r="A691" i="10" s="1"/>
  <c r="A723" i="10"/>
  <c r="A898" i="2"/>
  <c r="A911" i="2" s="1"/>
  <c r="A917" i="2" s="1"/>
  <c r="A923" i="2" s="1"/>
  <c r="A445" i="2"/>
  <c r="A452" i="2" s="1"/>
  <c r="E17" i="4"/>
  <c r="E15" i="4"/>
  <c r="E14" i="4"/>
  <c r="E28" i="4"/>
  <c r="A564" i="3"/>
  <c r="A568" i="3" s="1"/>
  <c r="A572" i="3" s="1"/>
  <c r="E13" i="4"/>
  <c r="A144" i="2"/>
  <c r="A456" i="2" l="1"/>
  <c r="A326" i="7"/>
  <c r="A694" i="10"/>
  <c r="A698" i="10"/>
  <c r="A702" i="10" s="1"/>
  <c r="A706" i="10" s="1"/>
  <c r="A709" i="10" s="1"/>
  <c r="A711" i="10" s="1"/>
  <c r="A713" i="10" s="1"/>
  <c r="A715" i="10" s="1"/>
  <c r="A717" i="10" s="1"/>
  <c r="A719" i="10" s="1"/>
  <c r="A724" i="10"/>
  <c r="A764" i="10" s="1"/>
  <c r="A768" i="10" s="1"/>
  <c r="A770" i="10" s="1"/>
  <c r="A774" i="10" s="1"/>
  <c r="A777" i="10" s="1"/>
  <c r="A779" i="10" s="1"/>
  <c r="A781" i="10" s="1"/>
  <c r="A783" i="10" s="1"/>
  <c r="A785" i="10" s="1"/>
  <c r="A787" i="10"/>
  <c r="A931" i="2"/>
  <c r="A937" i="2" s="1"/>
  <c r="A576" i="3"/>
  <c r="A580" i="3" s="1"/>
  <c r="A150" i="2"/>
  <c r="A16" i="6"/>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1" i="7"/>
  <c r="F316" i="7"/>
  <c r="F317" i="7"/>
  <c r="F318" i="7"/>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70" i="7"/>
  <c r="F371" i="7"/>
  <c r="F372" i="7"/>
  <c r="F373" i="7"/>
  <c r="F374" i="7"/>
  <c r="F375" i="7"/>
  <c r="F376" i="7"/>
  <c r="F377" i="7"/>
  <c r="F8" i="7"/>
  <c r="D1625" i="3"/>
  <c r="F1625" i="3" s="1"/>
  <c r="D1624" i="3"/>
  <c r="F1624" i="3" s="1"/>
  <c r="D401" i="3"/>
  <c r="F401" i="3" s="1"/>
  <c r="D399" i="3"/>
  <c r="F399" i="3" s="1"/>
  <c r="D402" i="3"/>
  <c r="F402" i="3" s="1"/>
  <c r="D400" i="3"/>
  <c r="F400" i="3" s="1"/>
  <c r="D167" i="3"/>
  <c r="F167" i="3" s="1"/>
  <c r="D168" i="3"/>
  <c r="F168" i="3" s="1"/>
  <c r="D160" i="3"/>
  <c r="F160" i="3" s="1"/>
  <c r="D159" i="3"/>
  <c r="F159" i="3" s="1"/>
  <c r="D158" i="3"/>
  <c r="F158" i="3" s="1"/>
  <c r="D150" i="3"/>
  <c r="F150" i="3" s="1"/>
  <c r="D149" i="3"/>
  <c r="F149" i="3" s="1"/>
  <c r="D148" i="3"/>
  <c r="F148" i="3" s="1"/>
  <c r="D147" i="3"/>
  <c r="F147" i="3" s="1"/>
  <c r="D146" i="3"/>
  <c r="F146" i="3" s="1"/>
  <c r="D144" i="3"/>
  <c r="F144" i="3" s="1"/>
  <c r="D145" i="3"/>
  <c r="F145" i="3" s="1"/>
  <c r="D143" i="3"/>
  <c r="F143" i="3" s="1"/>
  <c r="D142" i="3"/>
  <c r="F142" i="3" s="1"/>
  <c r="D141" i="3"/>
  <c r="F141" i="3" s="1"/>
  <c r="D479" i="3"/>
  <c r="F479" i="3" s="1"/>
  <c r="D478" i="3"/>
  <c r="F478" i="3" s="1"/>
  <c r="D473" i="3"/>
  <c r="F473" i="3" s="1"/>
  <c r="A20" i="6" l="1"/>
  <c r="A24" i="6" s="1"/>
  <c r="A28" i="6" s="1"/>
  <c r="A32" i="6" s="1"/>
  <c r="A461" i="2"/>
  <c r="A469" i="2" s="1"/>
  <c r="A474" i="2" s="1"/>
  <c r="A479" i="2" s="1"/>
  <c r="A484" i="2" s="1"/>
  <c r="A489" i="2" s="1"/>
  <c r="A330" i="7"/>
  <c r="A333" i="7" s="1"/>
  <c r="A336" i="7" s="1"/>
  <c r="A339" i="7" s="1"/>
  <c r="A342" i="7" s="1"/>
  <c r="A158" i="2"/>
  <c r="A167" i="2" s="1"/>
  <c r="F380" i="7"/>
  <c r="E34" i="4" s="1"/>
  <c r="E40" i="4" s="1"/>
  <c r="E380" i="7"/>
  <c r="A788" i="10"/>
  <c r="A808" i="10" s="1"/>
  <c r="A815" i="10" s="1"/>
  <c r="A819" i="10" s="1"/>
  <c r="A824" i="10" s="1"/>
  <c r="A827" i="10" s="1"/>
  <c r="A832" i="10" s="1"/>
  <c r="A836" i="10" s="1"/>
  <c r="A840" i="10" s="1"/>
  <c r="A843" i="10" s="1"/>
  <c r="A846" i="10" s="1"/>
  <c r="A849" i="10" s="1"/>
  <c r="A851" i="10" s="1"/>
  <c r="A853" i="10" s="1"/>
  <c r="A855" i="10" s="1"/>
  <c r="A857" i="10"/>
  <c r="A943" i="2"/>
  <c r="A951" i="2" s="1"/>
  <c r="A959" i="2" s="1"/>
  <c r="A965" i="2" s="1"/>
  <c r="F1627" i="3"/>
  <c r="F1638" i="3" s="1"/>
  <c r="D166" i="6"/>
  <c r="F166" i="6" s="1"/>
  <c r="A345" i="7" l="1"/>
  <c r="A348" i="7" s="1"/>
  <c r="A351" i="7" s="1"/>
  <c r="A354" i="7" s="1"/>
  <c r="A363" i="7" s="1"/>
  <c r="A367" i="7" s="1"/>
  <c r="A373" i="7" s="1"/>
  <c r="A494" i="2"/>
  <c r="A500" i="2" s="1"/>
  <c r="A880" i="10"/>
  <c r="A881" i="10" s="1"/>
  <c r="A885" i="10" s="1"/>
  <c r="A887" i="10" s="1"/>
  <c r="A889" i="10" s="1"/>
  <c r="A891" i="10" s="1"/>
  <c r="A895" i="10" s="1"/>
  <c r="A858" i="10"/>
  <c r="A864" i="10" s="1"/>
  <c r="A870" i="10" s="1"/>
  <c r="A872" i="10" s="1"/>
  <c r="A874" i="10" s="1"/>
  <c r="A876" i="10" s="1"/>
  <c r="A878" i="10" s="1"/>
  <c r="A36" i="6"/>
  <c r="A40" i="6" s="1"/>
  <c r="A45" i="6" s="1"/>
  <c r="A51" i="6" s="1"/>
  <c r="A56" i="6" s="1"/>
  <c r="A60" i="6" s="1"/>
  <c r="A68" i="6" s="1"/>
  <c r="A73" i="6" s="1"/>
  <c r="A973" i="2"/>
  <c r="A175" i="2"/>
  <c r="A504" i="2" l="1"/>
  <c r="A509" i="2"/>
  <c r="A515" i="2" s="1"/>
  <c r="A179" i="2"/>
  <c r="A77" i="6"/>
  <c r="A84" i="6" s="1"/>
  <c r="A979" i="2"/>
  <c r="A984" i="2" s="1"/>
  <c r="A10" i="2"/>
  <c r="D497" i="2"/>
  <c r="F497" i="2" s="1"/>
  <c r="F425" i="2"/>
  <c r="D206" i="6"/>
  <c r="F206" i="6" s="1"/>
  <c r="D224" i="6"/>
  <c r="F224" i="6" s="1"/>
  <c r="D75" i="6"/>
  <c r="F75" i="6" s="1"/>
  <c r="D1103" i="2"/>
  <c r="E30" i="4"/>
  <c r="A183" i="2" l="1"/>
  <c r="F1103" i="2"/>
  <c r="F1144" i="2" s="1"/>
  <c r="F1157" i="2" s="1"/>
  <c r="E19" i="4" s="1"/>
  <c r="A88" i="6"/>
  <c r="A95" i="6" s="1"/>
  <c r="A99" i="6" s="1"/>
  <c r="A103" i="6" s="1"/>
  <c r="A117" i="6" s="1"/>
  <c r="A124" i="6" s="1"/>
  <c r="A989" i="2"/>
  <c r="A20" i="2"/>
  <c r="A187" i="2" l="1"/>
  <c r="A191" i="2" s="1"/>
  <c r="A131" i="6"/>
  <c r="A995" i="2"/>
  <c r="A24" i="2"/>
  <c r="D197" i="3"/>
  <c r="F197" i="3" s="1"/>
  <c r="A195" i="2" l="1"/>
  <c r="A136" i="6"/>
  <c r="A143" i="6" s="1"/>
  <c r="A999" i="2"/>
  <c r="A28" i="2"/>
  <c r="D570" i="3"/>
  <c r="F570" i="3" s="1"/>
  <c r="F562" i="3"/>
  <c r="D477" i="2"/>
  <c r="F477" i="2" s="1"/>
  <c r="D482" i="2"/>
  <c r="F482" i="2" s="1"/>
  <c r="F977" i="2"/>
  <c r="D1093" i="2"/>
  <c r="F1093" i="2" s="1"/>
  <c r="D1092" i="2"/>
  <c r="F1092" i="2" s="1"/>
  <c r="D1091" i="2"/>
  <c r="F1091" i="2" s="1"/>
  <c r="D1090" i="2"/>
  <c r="F1090" i="2" s="1"/>
  <c r="D1088" i="2"/>
  <c r="F1088" i="2" s="1"/>
  <c r="D1089" i="2"/>
  <c r="F1089" i="2" s="1"/>
  <c r="D1087" i="2"/>
  <c r="F1087" i="2" s="1"/>
  <c r="D1086" i="2"/>
  <c r="F1086" i="2" s="1"/>
  <c r="A198" i="2" l="1"/>
  <c r="A149" i="6"/>
  <c r="A153" i="6" s="1"/>
  <c r="A1005" i="2"/>
  <c r="A1013" i="2" s="1"/>
  <c r="A1024" i="2" s="1"/>
  <c r="A1034" i="2" s="1"/>
  <c r="A1045" i="2" s="1"/>
  <c r="A1056" i="2" s="1"/>
  <c r="A1066" i="2" s="1"/>
  <c r="A1079" i="2" s="1"/>
  <c r="A35" i="2"/>
  <c r="A201" i="2" l="1"/>
  <c r="A205" i="2" s="1"/>
  <c r="A43" i="2"/>
  <c r="A160" i="6"/>
  <c r="D197" i="6"/>
  <c r="F197" i="6" s="1"/>
  <c r="D184" i="6"/>
  <c r="F184" i="6" s="1"/>
  <c r="A209" i="2" l="1"/>
  <c r="A213" i="2" s="1"/>
  <c r="A219" i="2" s="1"/>
  <c r="A51" i="2"/>
  <c r="A57" i="2" s="1"/>
  <c r="A61" i="2" s="1"/>
  <c r="A65" i="2" s="1"/>
  <c r="A69" i="2" s="1"/>
  <c r="A73" i="2" s="1"/>
  <c r="A78" i="2" s="1"/>
  <c r="A172" i="6"/>
  <c r="D185" i="6"/>
  <c r="F185" i="6" s="1"/>
  <c r="D157" i="6"/>
  <c r="F157" i="6" s="1"/>
  <c r="D158" i="6"/>
  <c r="F158" i="6" s="1"/>
  <c r="D156" i="6"/>
  <c r="F156" i="6" s="1"/>
  <c r="D141" i="6"/>
  <c r="F141" i="6" s="1"/>
  <c r="A223" i="2" l="1"/>
  <c r="A227" i="2" s="1"/>
  <c r="A231" i="2" s="1"/>
  <c r="A235" i="2" s="1"/>
  <c r="A240" i="2" s="1"/>
  <c r="A176" i="6"/>
  <c r="A181" i="6" s="1"/>
  <c r="A187" i="6" s="1"/>
  <c r="D668" i="2"/>
  <c r="F668" i="2" s="1"/>
  <c r="D497" i="3"/>
  <c r="F497" i="3" s="1"/>
  <c r="D499" i="3"/>
  <c r="F499" i="3" s="1"/>
  <c r="D502" i="3"/>
  <c r="F502" i="3" s="1"/>
  <c r="D500" i="3"/>
  <c r="F500" i="3" s="1"/>
  <c r="D501" i="3"/>
  <c r="F501" i="3" s="1"/>
  <c r="D498" i="3"/>
  <c r="F498" i="3" s="1"/>
  <c r="D493" i="3"/>
  <c r="F493" i="3" s="1"/>
  <c r="D140" i="6"/>
  <c r="F140" i="6" s="1"/>
  <c r="D139" i="6"/>
  <c r="F139" i="6" s="1"/>
  <c r="F13" i="6"/>
  <c r="F12" i="6"/>
  <c r="F297" i="6" l="1"/>
  <c r="E7" i="4" s="1"/>
  <c r="E37" i="4" s="1"/>
  <c r="A191" i="6"/>
  <c r="D494" i="3"/>
  <c r="F494" i="3" s="1"/>
  <c r="A195" i="6" l="1"/>
  <c r="D1053" i="2"/>
  <c r="F1053" i="2" s="1"/>
  <c r="D1054" i="2"/>
  <c r="F1054" i="2" s="1"/>
  <c r="D1052" i="2"/>
  <c r="F1052" i="2" s="1"/>
  <c r="D1021" i="2"/>
  <c r="F1021" i="2" s="1"/>
  <c r="D1022" i="2"/>
  <c r="F1022" i="2" s="1"/>
  <c r="D1020" i="2"/>
  <c r="F1020" i="2" s="1"/>
  <c r="D681" i="2"/>
  <c r="F681" i="2" s="1"/>
  <c r="D682" i="2"/>
  <c r="F682" i="2" s="1"/>
  <c r="D502" i="2"/>
  <c r="F502" i="2" s="1"/>
  <c r="A199" i="6" l="1"/>
  <c r="A203" i="6" s="1"/>
  <c r="D684" i="2"/>
  <c r="F684" i="2" s="1"/>
  <c r="D228" i="3"/>
  <c r="F228" i="3" s="1"/>
  <c r="D222" i="3"/>
  <c r="F222" i="3" s="1"/>
  <c r="D221" i="3"/>
  <c r="F221" i="3" s="1"/>
  <c r="D133" i="3"/>
  <c r="F133" i="3" s="1"/>
  <c r="D126" i="3"/>
  <c r="F126" i="3" s="1"/>
  <c r="D112" i="3"/>
  <c r="F112" i="3" s="1"/>
  <c r="D105" i="3"/>
  <c r="F105" i="3" s="1"/>
  <c r="D69" i="3"/>
  <c r="F69" i="3" s="1"/>
  <c r="D33" i="3"/>
  <c r="F33" i="3" s="1"/>
  <c r="D42" i="3"/>
  <c r="F42" i="3" s="1"/>
  <c r="D908" i="2"/>
  <c r="F908" i="2" s="1"/>
  <c r="D907" i="2"/>
  <c r="F907" i="2" s="1"/>
  <c r="D379" i="3"/>
  <c r="F379" i="3" s="1"/>
  <c r="D378" i="3"/>
  <c r="F378" i="3" s="1"/>
  <c r="D377" i="3"/>
  <c r="F377" i="3" s="1"/>
  <c r="D376" i="3"/>
  <c r="F376" i="3" s="1"/>
  <c r="D603" i="2"/>
  <c r="F603" i="2" s="1"/>
  <c r="D602" i="2"/>
  <c r="F602" i="2" s="1"/>
  <c r="D601" i="2"/>
  <c r="F601" i="2" s="1"/>
  <c r="D969" i="2"/>
  <c r="F969" i="2" s="1"/>
  <c r="D594" i="2"/>
  <c r="F594" i="2" s="1"/>
  <c r="D593" i="2"/>
  <c r="F593" i="2" s="1"/>
  <c r="D592" i="2"/>
  <c r="F592" i="2" s="1"/>
  <c r="D636" i="2"/>
  <c r="F636" i="2" s="1"/>
  <c r="D366" i="3"/>
  <c r="F366" i="3" s="1"/>
  <c r="D365" i="3"/>
  <c r="F365" i="3" s="1"/>
  <c r="D364" i="3"/>
  <c r="F364" i="3" s="1"/>
  <c r="D354" i="3"/>
  <c r="F354" i="3" s="1"/>
  <c r="D353" i="3"/>
  <c r="F353" i="3" s="1"/>
  <c r="D352" i="3"/>
  <c r="F352" i="3" s="1"/>
  <c r="D629" i="2"/>
  <c r="F629" i="2" s="1"/>
  <c r="D343" i="3"/>
  <c r="F343" i="3" s="1"/>
  <c r="D342" i="3"/>
  <c r="F342" i="3" s="1"/>
  <c r="D341" i="3"/>
  <c r="F341" i="3" s="1"/>
  <c r="D340" i="3"/>
  <c r="F340" i="3" s="1"/>
  <c r="D330" i="3"/>
  <c r="F330" i="3" s="1"/>
  <c r="D329" i="3"/>
  <c r="F329" i="3" s="1"/>
  <c r="D328" i="3"/>
  <c r="F328" i="3" s="1"/>
  <c r="D319" i="3"/>
  <c r="F319" i="3" s="1"/>
  <c r="D318" i="3"/>
  <c r="F318" i="3" s="1"/>
  <c r="D317" i="3"/>
  <c r="F317" i="3" s="1"/>
  <c r="D576" i="2"/>
  <c r="F576" i="2" s="1"/>
  <c r="D575" i="2"/>
  <c r="F575" i="2" s="1"/>
  <c r="D574" i="2"/>
  <c r="F574" i="2" s="1"/>
  <c r="D585" i="2"/>
  <c r="F585" i="2" s="1"/>
  <c r="D584" i="2"/>
  <c r="F584" i="2" s="1"/>
  <c r="D583" i="2"/>
  <c r="F583" i="2" s="1"/>
  <c r="D308" i="3"/>
  <c r="F308" i="3" s="1"/>
  <c r="D615" i="2"/>
  <c r="F615" i="2" s="1"/>
  <c r="D614" i="2"/>
  <c r="F614" i="2" s="1"/>
  <c r="D613" i="2"/>
  <c r="F613" i="2" s="1"/>
  <c r="D558" i="2"/>
  <c r="F558" i="2" s="1"/>
  <c r="D557" i="2"/>
  <c r="F557" i="2" s="1"/>
  <c r="D556" i="2"/>
  <c r="F556" i="2" s="1"/>
  <c r="D541" i="2"/>
  <c r="F541" i="2" s="1"/>
  <c r="D540" i="2"/>
  <c r="F540" i="2" s="1"/>
  <c r="D549" i="2"/>
  <c r="F549" i="2" s="1"/>
  <c r="D548" i="2"/>
  <c r="F548" i="2" s="1"/>
  <c r="A208" i="6" l="1"/>
  <c r="A213" i="6" s="1"/>
  <c r="D498" i="2"/>
  <c r="F498" i="2" s="1"/>
  <c r="A217" i="6" l="1"/>
  <c r="A221" i="6" s="1"/>
  <c r="D523" i="2"/>
  <c r="F523" i="2" s="1"/>
  <c r="D522" i="2"/>
  <c r="F522" i="2" s="1"/>
  <c r="D521" i="2"/>
  <c r="F521" i="2" s="1"/>
  <c r="D520" i="2"/>
  <c r="F520" i="2" s="1"/>
  <c r="A226" i="6" l="1"/>
  <c r="A231" i="6" s="1"/>
  <c r="D533" i="2"/>
  <c r="F533" i="2" s="1"/>
  <c r="D532" i="2"/>
  <c r="F532" i="2" s="1"/>
  <c r="D531" i="2"/>
  <c r="F531" i="2" s="1"/>
  <c r="D530" i="2"/>
  <c r="F530" i="2" s="1"/>
  <c r="D890" i="2"/>
  <c r="F890" i="2" s="1"/>
  <c r="D133" i="2"/>
  <c r="F133" i="2" s="1"/>
  <c r="D115" i="2"/>
  <c r="F115" i="2" s="1"/>
  <c r="D110" i="2"/>
  <c r="F110" i="2" s="1"/>
  <c r="A236" i="6" l="1"/>
  <c r="A240" i="6" s="1"/>
  <c r="D297" i="3"/>
  <c r="F297" i="3" s="1"/>
  <c r="D296" i="3"/>
  <c r="F296" i="3" s="1"/>
  <c r="D290" i="3"/>
  <c r="F290" i="3" s="1"/>
  <c r="F287" i="3"/>
  <c r="F286" i="3"/>
  <c r="F284" i="3"/>
  <c r="F283" i="3"/>
  <c r="F282" i="3"/>
  <c r="A282" i="3"/>
  <c r="A292" i="3" s="1"/>
  <c r="F455" i="3" l="1"/>
  <c r="F1632" i="3" s="1"/>
  <c r="A244" i="6"/>
  <c r="A299" i="3"/>
  <c r="A305" i="3" s="1"/>
  <c r="A310" i="3" s="1"/>
  <c r="A321" i="3" s="1"/>
  <c r="A333" i="3" s="1"/>
  <c r="A345" i="3" s="1"/>
  <c r="A357" i="3" s="1"/>
  <c r="A369" i="3" s="1"/>
  <c r="A382" i="3" s="1"/>
  <c r="A249" i="6" l="1"/>
  <c r="A256" i="6" l="1"/>
  <c r="E24" i="4"/>
  <c r="A260" i="6" l="1"/>
  <c r="F594" i="3"/>
  <c r="F593" i="3"/>
  <c r="F23" i="3"/>
  <c r="F671" i="3" l="1"/>
  <c r="F1635" i="3" s="1"/>
  <c r="E27" i="4" s="1"/>
  <c r="A265" i="6"/>
  <c r="A270" i="6" s="1"/>
  <c r="A274" i="6" s="1"/>
  <c r="F886" i="2"/>
  <c r="F887" i="2"/>
  <c r="F888" i="2"/>
  <c r="F889" i="2"/>
  <c r="F411" i="2"/>
  <c r="F412" i="2"/>
  <c r="F121" i="2"/>
  <c r="F840" i="2" l="1"/>
  <c r="F1154" i="2" s="1"/>
  <c r="E16" i="4" s="1"/>
  <c r="F122" i="2"/>
  <c r="F1149" i="2" s="1"/>
  <c r="A278" i="6"/>
  <c r="F586" i="3"/>
  <c r="E10" i="4"/>
  <c r="E11" i="4" l="1"/>
  <c r="F587" i="3"/>
  <c r="F1634" i="3" s="1"/>
  <c r="E26" i="4" s="1"/>
  <c r="A285" i="6"/>
  <c r="A292" i="6" s="1"/>
  <c r="A504" i="3"/>
  <c r="A513" i="3" l="1"/>
  <c r="A526" i="3" l="1"/>
  <c r="A541" i="3" s="1"/>
  <c r="A389" i="3"/>
  <c r="A405" i="3" s="1"/>
  <c r="A421" i="3" s="1"/>
  <c r="A433" i="3" s="1"/>
  <c r="A448" i="3" s="1"/>
  <c r="F17" i="3" l="1"/>
  <c r="F18" i="3"/>
  <c r="F19" i="3"/>
  <c r="F20" i="3"/>
  <c r="F21" i="3"/>
  <c r="F22" i="3"/>
  <c r="A26" i="3"/>
  <c r="F471" i="3"/>
  <c r="F1066" i="3"/>
  <c r="F1067" i="3"/>
  <c r="F1068" i="3"/>
  <c r="F1069" i="3"/>
  <c r="B1633" i="3"/>
  <c r="B25" i="4" s="1"/>
  <c r="F125" i="2"/>
  <c r="F126" i="2"/>
  <c r="F128" i="2"/>
  <c r="F129" i="2"/>
  <c r="F132" i="2"/>
  <c r="F880" i="2"/>
  <c r="F883" i="2"/>
  <c r="F884" i="2"/>
  <c r="F1606" i="3" l="1"/>
  <c r="F1637" i="3" s="1"/>
  <c r="E29" i="4" s="1"/>
  <c r="F244" i="2"/>
  <c r="F1150" i="2" s="1"/>
  <c r="F1095" i="2"/>
  <c r="F1156" i="2" s="1"/>
  <c r="E18" i="4" s="1"/>
  <c r="F548" i="3"/>
  <c r="F1633" i="3" s="1"/>
  <c r="E25" i="4" s="1"/>
  <c r="F272" i="3"/>
  <c r="F1631" i="3" s="1"/>
  <c r="A35" i="3"/>
  <c r="F1159" i="2" l="1"/>
  <c r="F1640" i="3"/>
  <c r="E23" i="4"/>
  <c r="E12" i="4"/>
  <c r="A44" i="3"/>
  <c r="E20" i="4" l="1"/>
  <c r="E38" i="4" s="1"/>
  <c r="E31" i="4"/>
  <c r="E39" i="4" s="1"/>
  <c r="A53" i="3"/>
  <c r="E42" i="4" l="1"/>
  <c r="E89" i="4" s="1"/>
  <c r="E96" i="4" s="1"/>
  <c r="A62" i="3"/>
  <c r="A71" i="3" s="1"/>
  <c r="E97" i="4" l="1"/>
  <c r="E98" i="4" s="1"/>
  <c r="A81" i="3"/>
  <c r="A89" i="3" s="1"/>
  <c r="A100" i="3" l="1"/>
  <c r="A107" i="3" s="1"/>
  <c r="A114" i="3" s="1"/>
  <c r="A121" i="3" s="1"/>
  <c r="A128" i="3" l="1"/>
  <c r="A137" i="3" l="1"/>
  <c r="A155" i="3" s="1"/>
  <c r="A162" i="3" s="1"/>
  <c r="A170" i="3" s="1"/>
  <c r="A177" i="3" s="1"/>
  <c r="A184" i="3" s="1"/>
  <c r="A191" i="3" s="1"/>
  <c r="A199" i="3" s="1"/>
  <c r="A206" i="3" s="1"/>
  <c r="A216" i="3" l="1"/>
  <c r="A224" i="3" s="1"/>
  <c r="A230" i="3" s="1"/>
  <c r="A234" i="3" s="1"/>
  <c r="A242" i="3" s="1"/>
  <c r="A248" i="3" s="1"/>
  <c r="A256" i="3" s="1"/>
  <c r="A264" i="3" s="1"/>
  <c r="A616" i="3" l="1"/>
  <c r="A620" i="3" l="1"/>
  <c r="A624" i="3" s="1"/>
  <c r="A731" i="3"/>
  <c r="A628" i="3" l="1"/>
  <c r="A632" i="3" s="1"/>
  <c r="A740" i="3"/>
  <c r="A636" i="3" l="1"/>
  <c r="A749" i="3"/>
  <c r="A640" i="3" l="1"/>
  <c r="A644" i="3" s="1"/>
  <c r="A651" i="3" s="1"/>
  <c r="A655" i="3" s="1"/>
  <c r="A659" i="3" s="1"/>
  <c r="A663" i="3" s="1"/>
  <c r="A667" i="3" s="1"/>
  <c r="A758" i="3"/>
  <c r="A768" i="3" s="1"/>
  <c r="A779" i="3" l="1"/>
  <c r="A788" i="3" l="1"/>
  <c r="A797" i="3" l="1"/>
  <c r="A805" i="3" l="1"/>
  <c r="A813" i="3" l="1"/>
  <c r="A854" i="3" s="1"/>
  <c r="A862" i="3" l="1"/>
  <c r="A878" i="3" s="1"/>
  <c r="A887" i="3" s="1"/>
  <c r="A898" i="3" l="1"/>
  <c r="A907" i="3" s="1"/>
  <c r="A916" i="3" s="1"/>
  <c r="A925" i="3" l="1"/>
  <c r="A936" i="3" s="1"/>
  <c r="A946" i="3" l="1"/>
  <c r="A958" i="3" l="1"/>
  <c r="A967" i="3" s="1"/>
  <c r="A978" i="3" s="1"/>
  <c r="A990" i="3" s="1"/>
  <c r="A1000" i="3" s="1"/>
  <c r="A1008" i="3" s="1"/>
  <c r="A1017" i="3" s="1"/>
  <c r="A1023" i="3" s="1"/>
  <c r="A1031" i="3" s="1"/>
  <c r="A1037" i="3" s="1"/>
  <c r="A1045" i="3" s="1"/>
  <c r="A1053" i="3" l="1"/>
  <c r="A1058" i="3" s="1"/>
  <c r="A94" i="2" l="1"/>
  <c r="A98" i="2" l="1"/>
  <c r="A102" i="2" l="1"/>
  <c r="A106" i="2" l="1"/>
  <c r="A112" i="2" s="1"/>
  <c r="A117" i="2" l="1"/>
  <c r="A525" i="2" l="1"/>
  <c r="A535" i="2" s="1"/>
  <c r="A543" i="2" s="1"/>
  <c r="A551" i="2" s="1"/>
  <c r="A560" i="2" s="1"/>
  <c r="A569" i="2" s="1"/>
  <c r="A578" i="2" s="1"/>
  <c r="A587" i="2" s="1"/>
  <c r="A596" i="2" s="1"/>
  <c r="A607" i="2" s="1"/>
  <c r="A617" i="2" s="1"/>
  <c r="A624" i="2" s="1"/>
  <c r="A631" i="2" s="1"/>
  <c r="A638" i="2" s="1"/>
  <c r="A656" i="2" s="1"/>
  <c r="A670" i="2" s="1"/>
  <c r="A688" i="2" s="1"/>
  <c r="A693" i="2" s="1"/>
  <c r="A698" i="2" s="1"/>
  <c r="A744" i="2" s="1"/>
  <c r="A750" i="2" l="1"/>
  <c r="A755" i="2" s="1"/>
  <c r="A760" i="2" s="1"/>
  <c r="A806" i="2" s="1"/>
  <c r="A815" i="2" l="1"/>
  <c r="A829" i="2" s="1"/>
</calcChain>
</file>

<file path=xl/sharedStrings.xml><?xml version="1.0" encoding="utf-8"?>
<sst xmlns="http://schemas.openxmlformats.org/spreadsheetml/2006/main" count="10187" uniqueCount="5622">
  <si>
    <t>OIB: 91301720286</t>
  </si>
  <si>
    <t>Stubička ulica 534, Donja Bistra</t>
  </si>
  <si>
    <t>Initeh Modeling d.o.o.</t>
  </si>
  <si>
    <t>Renato Gulić, mag.ing.aedif.</t>
  </si>
  <si>
    <t>Troškovnik izradio:</t>
  </si>
  <si>
    <t>Glavni projektant:</t>
  </si>
  <si>
    <t>Građevina:</t>
  </si>
  <si>
    <t>Investitor:</t>
  </si>
  <si>
    <t>GRAĐEVINSKI RADOVI UKUPNO:</t>
  </si>
  <si>
    <t>A.1.</t>
  </si>
  <si>
    <t>IZOLATERSKI RADOVI UKUPNO</t>
  </si>
  <si>
    <t>A.1.8.</t>
  </si>
  <si>
    <t>TESARSKI RADOVI UKUPNO</t>
  </si>
  <si>
    <t>A.1.7.</t>
  </si>
  <si>
    <t>ZIDARSKO FASADERSKI RADOVI UKUPNO</t>
  </si>
  <si>
    <t>A.1.6.</t>
  </si>
  <si>
    <t>ARMIRAČKI RADOVI UKUPNO</t>
  </si>
  <si>
    <t>A.1.5.</t>
  </si>
  <si>
    <t>BETONSKI I ARMIRANOBETONSKI RADOVI UKUPNO</t>
  </si>
  <si>
    <t>A.1.4.</t>
  </si>
  <si>
    <t>ZEMLJANI RADOVI UKUPNO</t>
  </si>
  <si>
    <t>A.1.3.</t>
  </si>
  <si>
    <t>PRIPREMNI I ZAVRŠNI RADOVI UKUPNO</t>
  </si>
  <si>
    <t>A.1.2.</t>
  </si>
  <si>
    <t>A.1.1.</t>
  </si>
  <si>
    <t>GRAĐEVINSKI RADOVI - REKAPITULACIJA</t>
  </si>
  <si>
    <t>m1</t>
  </si>
  <si>
    <t>m2</t>
  </si>
  <si>
    <t>Obračun po m2.</t>
  </si>
  <si>
    <t>Toplinske izolacije</t>
  </si>
  <si>
    <t>Obračun po m2 ugrađene HI.</t>
  </si>
  <si>
    <t>Hidroizolacija se uz zidove podiže min. 10,00 cm što je uključeno u cijenu stavke. U cijenu uključene i rubne trake.</t>
  </si>
  <si>
    <t>Obračun po m2 horizontalne projekcije krova, a što uključuje obrade oko svih prodora u krovu, izrada svih detalja oko zidova, fasada te svi radovi do potpune gotovosti kako bi se osigurala vodonepropusna cjelina.</t>
  </si>
  <si>
    <t>Stavka obuhvaća nabavu svog potrebnog materijala, dovoz te sav potreban rad ljudi i strojeva. Sve detalje treba izvoditi prema uputama proizvođača.</t>
  </si>
  <si>
    <t>kom</t>
  </si>
  <si>
    <t>U cijenu stavke uključiti i provedbu vodene probe, cijena uključuje i izvedbu svih privremenih zatvaranja ispusta vode s krova.</t>
  </si>
  <si>
    <t>Hidroizolacija ravnog krova</t>
  </si>
  <si>
    <t xml:space="preserve">U cijenu uključene sve potrebne pripremne radnje. Sve izvesti prema uputama proizvođača i projektnim detaljima. Stavka uključuje sav potreban rad i materijal.
</t>
  </si>
  <si>
    <t>Hidroizolacija</t>
  </si>
  <si>
    <t>/e</t>
  </si>
  <si>
    <t>/d</t>
  </si>
  <si>
    <t>/c</t>
  </si>
  <si>
    <t>Priprema podloge za izvedbu izolacije treba biti čista i ravna što je uključeno u jedinične cijene.</t>
  </si>
  <si>
    <t>/b</t>
  </si>
  <si>
    <t>Sve izvesti prema projektnim detaljima i uputama proizvođača izolacije.</t>
  </si>
  <si>
    <t>/a</t>
  </si>
  <si>
    <t>Posebni uvjeti za IZOLATERSKE radove</t>
  </si>
  <si>
    <t>IZOLATERSKI RADOVI</t>
  </si>
  <si>
    <t>Obračun po m2 površine fasade.</t>
  </si>
  <si>
    <t>Izvođač je dužan dostaviti atest skele ili ovjereni proračun skele</t>
  </si>
  <si>
    <t>TESARSKI RADOVI</t>
  </si>
  <si>
    <t>Obračun po m2 ugrađenih svih slojeva  fasade</t>
  </si>
  <si>
    <t>d)</t>
  </si>
  <si>
    <t>c)</t>
  </si>
  <si>
    <t>b)</t>
  </si>
  <si>
    <t>a)</t>
  </si>
  <si>
    <t>Sve spojeve kao i sve prodore  potrebno je izvesti odgovarajućim priključnim profilima ili brtvenim trakama kako bi sustav bio zaštićen od prodora vlage.</t>
  </si>
  <si>
    <t xml:space="preserve">Naknadno izravnavanje izvedenog fasadnog sustava nije dozvoljeno. </t>
  </si>
  <si>
    <t xml:space="preserve">Sve vidljive površine toplinsko-izolacijskih materijala te donje i gornje završetke na kojima nisu ugrađeni prikladni profili, potrebno je obraditi armaturnim slojem i završnom žbukom te na taj način zaštititi od izravnog prodora vlage, oštećenja koja mogu uzrokovati insekti, glodavci i sl., kao i od izravnog plamena u slučaju požara. 
</t>
  </si>
  <si>
    <t>Posebni uvjeti za fasadne obloge :</t>
  </si>
  <si>
    <t>Fasadne obloge</t>
  </si>
  <si>
    <t>b) PE folija</t>
  </si>
  <si>
    <t>sati</t>
  </si>
  <si>
    <t>radnik  kv</t>
  </si>
  <si>
    <t>radnik nkv</t>
  </si>
  <si>
    <t>Razne zidarske pripomoći</t>
  </si>
  <si>
    <t>m3</t>
  </si>
  <si>
    <t>ZIDARSKO FASADERSKI RADOVI</t>
  </si>
  <si>
    <t>kg</t>
  </si>
  <si>
    <t>Sveukupna armatura građevine</t>
  </si>
  <si>
    <t>ARMIRAČKI RADOVI</t>
  </si>
  <si>
    <t>Obračun za komplet armiranobetonske radove.</t>
  </si>
  <si>
    <t>Izrada projekta betona</t>
  </si>
  <si>
    <t>Ostalo</t>
  </si>
  <si>
    <t xml:space="preserve">   b) oplata</t>
  </si>
  <si>
    <t xml:space="preserve">   a) beton</t>
  </si>
  <si>
    <t>Obračun po m3 betona i m2 oplate.</t>
  </si>
  <si>
    <t>U cijenu radova uključiti mjestimično brušenje površine ukoliko dođe do pojave curaka ili prodora betona na spojevima oplate.</t>
  </si>
  <si>
    <t>Obračun po m2 ugrađenog betona.</t>
  </si>
  <si>
    <t>Sva potrebna oplata i armatura uključena u cijenu stavke.</t>
  </si>
  <si>
    <t>Podložni i zaštitni betoni</t>
  </si>
  <si>
    <t>BETONSKI I ARMIRANOBETONSKI RADOVI</t>
  </si>
  <si>
    <t>komplet</t>
  </si>
  <si>
    <t>Obračun za komplet.</t>
  </si>
  <si>
    <t>Stavka obuhvaća sva ispitivanja zbijenosti zemljanih radova prema zahtjevima iz projekta i obaveza je izvođača radova.</t>
  </si>
  <si>
    <t>Izrada izvještaja zbijenosti</t>
  </si>
  <si>
    <t xml:space="preserve">Obračun po m3 ugrađenog materijala u zbijenom stanju. </t>
  </si>
  <si>
    <t>Planiranje dna jame</t>
  </si>
  <si>
    <t>ZEMLJANI RADOVI</t>
  </si>
  <si>
    <t xml:space="preserve">Završno čišćenje i priprema za primopredaju te odvoz svega otpadnog materijala sa gradilišne deponije na udaljenost do 20 km. </t>
  </si>
  <si>
    <t xml:space="preserve">Završno čišćenje  </t>
  </si>
  <si>
    <t>Obračun po m1 postavljene ograde.</t>
  </si>
  <si>
    <t>Zaštitna ograda</t>
  </si>
  <si>
    <t>Obračun po m2 obrađene površine.</t>
  </si>
  <si>
    <t>PRIPREMNI  I ZAVRŠNI RADOVI</t>
  </si>
  <si>
    <t>GRAĐEVINSKI RADOVI</t>
  </si>
  <si>
    <t>TROŠKOVNIK GRAĐEVINSKIH I OBRTNIČKIH RADOVA</t>
  </si>
  <si>
    <t>A</t>
  </si>
  <si>
    <t>cijena</t>
  </si>
  <si>
    <t>Količina</t>
  </si>
  <si>
    <t>mjere</t>
  </si>
  <si>
    <t>Opis stavke</t>
  </si>
  <si>
    <t>broj</t>
  </si>
  <si>
    <t>Ukupna</t>
  </si>
  <si>
    <t xml:space="preserve">Jedinična </t>
  </si>
  <si>
    <t>Jedinica</t>
  </si>
  <si>
    <t xml:space="preserve">Redni </t>
  </si>
  <si>
    <t>OBRTNIČKI RADOVI UKUPNO:</t>
  </si>
  <si>
    <t>A.2.</t>
  </si>
  <si>
    <t>STOLARSKI RADOVI UKUPNO</t>
  </si>
  <si>
    <t>BRAVARSKI RADOVI UKUPNO</t>
  </si>
  <si>
    <t>A.2.7.</t>
  </si>
  <si>
    <t>LIMARSKI RADOVI UKUPNO</t>
  </si>
  <si>
    <t>A.2.6.</t>
  </si>
  <si>
    <t>SOBOSLIKARSKO-LIČILAČKI RADOVI UKUPNO</t>
  </si>
  <si>
    <t>A.2.5.</t>
  </si>
  <si>
    <t>A.2.4.</t>
  </si>
  <si>
    <t>A.2.3.</t>
  </si>
  <si>
    <t>PODOPOLAGAČKI RADOVI UKUPNO</t>
  </si>
  <si>
    <t>A.2.2.</t>
  </si>
  <si>
    <t>ZAVRŠNO- MONTAŽERSKI RADOVI UKUPNO</t>
  </si>
  <si>
    <t>A.2.1.</t>
  </si>
  <si>
    <t>OBRTNIČKI RADOVI - REKAPITULACIJA</t>
  </si>
  <si>
    <t>kompl</t>
  </si>
  <si>
    <t>Sve mjere kontrolirati u naravi.</t>
  </si>
  <si>
    <t>STOLARSKI RADOVI</t>
  </si>
  <si>
    <t>Požarna bravarija</t>
  </si>
  <si>
    <t>BRAVARSKI RADOVI</t>
  </si>
  <si>
    <t>Obračun po m1.</t>
  </si>
  <si>
    <t>LIMARSKI RADOVI</t>
  </si>
  <si>
    <t xml:space="preserve">Obračun po m2 </t>
  </si>
  <si>
    <t>Završna obrada stropova disperzivnom bojom</t>
  </si>
  <si>
    <t>Završna obrada zidova disperzivnom bojom</t>
  </si>
  <si>
    <t>SOBOSLIKARSKO-LIČILAČKI RADOVI</t>
  </si>
  <si>
    <t>KERAMIČARSKI RADOVI UKUPNO</t>
  </si>
  <si>
    <t>Sve mjere ugradbe kontrolirati u naravi. Izvođač je dužan osigurati transport i ugradnju elemenata bez oštećenja.</t>
  </si>
  <si>
    <t>Jedinična cijena sadrži i sva potrebna izrezivanja, potrebne završne obrade, brušenja, fugiranja i čišćenja do gotovog opločenja. Stavka obuhvaća sve potrebne radove i materijale: dobava, ugradnja, fugiranje, čišćenje, usklađivanje detalja</t>
  </si>
  <si>
    <t>Stavka uključuje i pripremu podloge te dobavu i ugradnju dvokomponentnog ljepila.</t>
  </si>
  <si>
    <t>Opločenje zidova sanitarija</t>
  </si>
  <si>
    <t>Obračun po m2 poda i m1 sokla.</t>
  </si>
  <si>
    <t>Sokl se izvodi u visini od 10 cm.</t>
  </si>
  <si>
    <t>Jedinična cijena sadrži i sva potrebna izrezivanja, potrebne završne obrade, brušenja, fugiranja i čišćenja do gotovog opločenja. Stavka obuhvaća sve potrebne radove i materijale: dobava, ugradnja, fugiranje, čišćenje, usklađivanje detalja.</t>
  </si>
  <si>
    <t>KERAMIČARSKI RADOVI</t>
  </si>
  <si>
    <t>Obračun po m1</t>
  </si>
  <si>
    <t>Razdjelna lajsna</t>
  </si>
  <si>
    <t>PODOPOLAGAČKI RADOVI</t>
  </si>
  <si>
    <t>UA 75 mm profil</t>
  </si>
  <si>
    <t>Pozicija: uz otvore za vrata.</t>
  </si>
  <si>
    <t>Obračun po m1 profila.</t>
  </si>
  <si>
    <t>UA profili- ojačanje za geberite</t>
  </si>
  <si>
    <t>UA profili- ojačanje za vrata</t>
  </si>
  <si>
    <t>Spušteni strop od gipskartonskih ploča</t>
  </si>
  <si>
    <t>Spušteni stropovi</t>
  </si>
  <si>
    <t>Obračun po m2 obloge</t>
  </si>
  <si>
    <t xml:space="preserve">U cijenu uključeno bandažiranje i gletanje spojeva i priprema za ličenje. </t>
  </si>
  <si>
    <t xml:space="preserve">a) dvostruke impregnirane gipskartonske ploče za mokre prostore, spojevi ploča bandažirani i gletani, d= 2,5 cm
</t>
  </si>
  <si>
    <t>Zidne obloge</t>
  </si>
  <si>
    <t>Obračun po m2 zida.</t>
  </si>
  <si>
    <t xml:space="preserve">c) dvostruke impregnirane gipskartonske ploče za mokre prostore, spojevi ploča bandažirani i gletani, d= 2,5 cm
</t>
  </si>
  <si>
    <t xml:space="preserve">a) dvostruke gipskartonske ploče, spojevi ploča bandažirani i gletani, d= 2,5 cm
</t>
  </si>
  <si>
    <t xml:space="preserve">c) dvostruke gipskartonske ploče, spojevi ploča bandažirani i gletani, d= 2,5 cm
</t>
  </si>
  <si>
    <t>Pregradni zidovi</t>
  </si>
  <si>
    <t>ZAVRŠNO- MONTAŽERSKI RADOVI</t>
  </si>
  <si>
    <t>OBRTNIČKI RADOVI</t>
  </si>
  <si>
    <t>Jedinična</t>
  </si>
  <si>
    <t>Obračun po m2 svakog sloja.</t>
  </si>
  <si>
    <t xml:space="preserve">Kompletno armiranje izolacijskih ploča nanošenjem armirnog sloja od svijetlog, mineralnog morta za lijepljenje i armiranje na bazi bijelog cementa, hidratiziranog vapna i visokokvalitetnog, frakcioniranog, drobljenog pješčanog vapnenca, isključivo iz atestiranog sustava proizvođača fasade.                                                                                                                                                                          U mort se u svježem stanju utiskuje tekstilno-staklena, alkalno otporna mrežica 160 g/m2, veličine otvora 4×4 mm s preklopom od minimalno 10 cm. Pozicija mrežice u polovini do gornje trećine debljine sloja. Debljina armirnog sloja min 3 mm. Obavezno dodatno ojačanje kuteva otvora dijagonalno postavljenim mrežicama dimenzija 20×40 cm ili 30×50 cm, sve iz sustava proizvođača fasade.                                                             
</t>
  </si>
  <si>
    <t xml:space="preserve">Stavka uključuje sav potreban rad i materijal te sve potrebne pripremne radnje za izvedbu slojeva fasade, te sav spojni i  pričvrsni materijal. </t>
  </si>
  <si>
    <t xml:space="preserve">  c)  </t>
  </si>
  <si>
    <t>/f</t>
  </si>
  <si>
    <t xml:space="preserve">a) dvostruke  gipskartonske ploče, spojevi ploča bandažirani i gletani, d= 2,5 cm
</t>
  </si>
  <si>
    <t xml:space="preserve">Opločenje parketom </t>
  </si>
  <si>
    <t>Prije izvedbe parketa potrebno je izvesti nivelir masu kao pripremni sloj za postavu podne obloge.</t>
  </si>
  <si>
    <t>Obračun po m2 poda i m1 sokl letvice.</t>
  </si>
  <si>
    <t>a) nivelir masa</t>
  </si>
  <si>
    <t>U cijenu stavke uključene sve pripremne radnje za izvedbu profila te brtvljenje nakon postave.</t>
  </si>
  <si>
    <t>Dobava doprema i ugradnja silikona na spojevima s keramikom. Prema potrebi i odobrenjima projektanta i nadzornog inženjera silikoniranje izvoditi na spoju keramičkog opločenja sa drugim elementima.  Silikon u boji prema odabiru projektanta. Stavka uključuje sav rad i materijal do potpune gotovosti.</t>
  </si>
  <si>
    <t>Sve stavke uključuju</t>
  </si>
  <si>
    <t>Obračun po m2 opločenja.</t>
  </si>
  <si>
    <t>Obračun za komad.</t>
  </si>
  <si>
    <t>Obračun po m2 poda.</t>
  </si>
  <si>
    <t>a) podesti</t>
  </si>
  <si>
    <t>b) čela</t>
  </si>
  <si>
    <t>c) gazišta</t>
  </si>
  <si>
    <t>Stropne i krovne ploče</t>
  </si>
  <si>
    <t>Gletanje i žbukanje</t>
  </si>
  <si>
    <t>Izvedba unutarnje produžne žbuke</t>
  </si>
  <si>
    <t>Obračun po m2 izolacije i folija te m1 vertikalnog uzdizanja</t>
  </si>
  <si>
    <t>c) vertikalno uzdizanje</t>
  </si>
  <si>
    <t>Završna obrada podgleda stubišta i podesta disperzivnom bojom</t>
  </si>
  <si>
    <t>Obračun:
Otvori veličine do 3,0 m2 ne odbijaju se i njihove se uložine ne obračunavaju
Kod otvora veličine 3,0 - 5,0 m2 odbija se površina preko 3,0 m2, a uložine se ne obračunavaju posebno
Kod otvora veličine preko 5,0 m2 odbija se površina preko 3,0 m2, a uložine se obračunavaju posebno</t>
  </si>
  <si>
    <t xml:space="preserve">Razvijene površine do 12 cm, za 1,00 m računa se 0,35 m2
Razvijene površine od 12 do 18 cm, za 1,00 m računa se 0,50 m2
Razvijene površine od 18 do 25 cm, za 1,00 m računa se 0,75 m2
Razvijene površine od 25 do 50 cm, za 1,00 m računa se 1,00 m2
Razvijene površine od 50 do 75 cm, za 1,00 m računa se 1,25 m2
Razvijene površine od 75 do 100 cm, za 1,00 m računa se 1,50 m2
Razvijene površine od 100 do 125 cm, za 1,00 m računa se 1,75 m2
Razvijene površine od 125 do 150 cm, za 1,00 m računa se 2,00 m2
</t>
  </si>
  <si>
    <t xml:space="preserve">Po izvedbi armirnog sloja nakon odgovarajućeg sušenja, a prije izvedbe završnih slojeva izvodi se temeljni premaz iz sustava proizvođača fasadnog sustava. Temeljni premaz je sredstvo za bolje prianjanje strukturne žbuke na mineralnim podlogama i fasadnim sustavima. Toniranti u nijansu prema završnoj strukturnoj žbuci. </t>
  </si>
  <si>
    <t xml:space="preserve">Nasip od drobljenca </t>
  </si>
  <si>
    <t>Dobava i izvođenje protuprašnog premaza zidova dizala. Betonske površine moraju biti čiste i kompaktne, bez pukotina te ne smiju biti pod utjecajem kapilarnog uzdizanja vlage. Priprema i kvaliteta betonske podloge: betonska podloga treba biti bez cementne skrame, nečistoća, pukotina i sl. Temperatura podloge mora biti najmanje 3 °C iznad temperature rosišta. Prije postave obavezno prekontrolirati vlagu u podlozi, kvalitetu podloge i ostale uvjete na gradilištu potrebne za nesmetanu i kvalitetnu postavu. Radna skela uključena u cijenu. U cijenu stavke su uključeni svi pripremni i pomoćni radovi, alati i materijali.</t>
  </si>
  <si>
    <t>Kristina Božičko, mag.ing.aedif.</t>
  </si>
  <si>
    <t>Razdjelni separacijski geotekstil</t>
  </si>
  <si>
    <t xml:space="preserve">Cijena stavke uključuje dobavu i postavu svih elemenata i komponenti do potpune gotovosti i vodonepropusnosti sustava. Prije izvođenja dužnost je izvođača i obračunato je u stavci pripremiti i po potrebi očistiti podlogu, provjeriti stanje i nosivost podloge, ukloniti sve nenosive dijelove, ukloniti sve masnoće i tvari koje razdvajaju. 
Stavka uključuje slojeve sustava: </t>
  </si>
  <si>
    <t>U jedinične cijene toplinske izolacije od  mineralne vune  koja se postavlja vertikalno u jediničnu cijenu treba uključiti sav rad i materijal za postavu sa metalnim profilima za pridržanje vune, sve prema detaljnim izvedbenim nacrtima.</t>
  </si>
  <si>
    <t>REKAPITULACIJA</t>
  </si>
  <si>
    <t xml:space="preserve">OBRTNIČKI RADOVI  </t>
  </si>
  <si>
    <t>REKAPITULACIJA UKUPNO</t>
  </si>
  <si>
    <t>PDV</t>
  </si>
  <si>
    <t>SVEUKUPNO</t>
  </si>
  <si>
    <t>Horizontalna hidroizolacija mokrih čvorova</t>
  </si>
  <si>
    <t>U jedinične cijene uključena i izvedba cementnog holkera na spoju pod/ zid prema potrebi</t>
  </si>
  <si>
    <t>/g</t>
  </si>
  <si>
    <t>količina za preklope uključena u jedinične cijene svake stavke</t>
  </si>
  <si>
    <t xml:space="preserve">  b)  </t>
  </si>
  <si>
    <t>a) zid</t>
  </si>
  <si>
    <t>Dobava, transport i betoniranje podložnog betona debljine d=10 cm, lagano armiranim betonom C 12/16.  Podložni beton izvodi se ispod temeljne ploče.</t>
  </si>
  <si>
    <t>Oznaka sloja: PT1.</t>
  </si>
  <si>
    <t>Oznaka sloja: PT2.</t>
  </si>
  <si>
    <t>Oznaka sloja: PT3.</t>
  </si>
  <si>
    <t xml:space="preserve">Obračun po m2. </t>
  </si>
  <si>
    <t>Razdjelni netkani separacijski geotekstil temeljne konstrukcije.</t>
  </si>
  <si>
    <t>Pregradni zid, debljine 10,0 cm</t>
  </si>
  <si>
    <t>Dobava, dostava i izrada unutrašnjeg zida debljine 10,0 cm. 
Sastav zida je:</t>
  </si>
  <si>
    <t>b) metalna potkonstrukcija UW/CW 50 mm s ispunom od mineralne vune debljine 5,0 cm za ispunu potkonstrukcija gipskartonskih pregrada</t>
  </si>
  <si>
    <t xml:space="preserve">a) dvostruke impregnirane  gipskartonske ploče za mokre prostore, spojevi ploča bandažirani i gletani, d= 2,5 cm
</t>
  </si>
  <si>
    <t>Pregradni zid, debljine 15 cm</t>
  </si>
  <si>
    <t>Dobava, dostava i izrada unutrašnjeg zida debljine 15 cm. 
Sastav zida je:</t>
  </si>
  <si>
    <t>b) metalna potkonstrukcija UW/CW 75 mm s ispunom od mineralne vune debljine 8,0 cm za ispunu potkonstrukcija gipskartonskih pregrada</t>
  </si>
  <si>
    <t xml:space="preserve">d) dvostruke gipskartonske ploče, spojevi ploča bandažirani i gletani, d= 2,5 cm
</t>
  </si>
  <si>
    <t xml:space="preserve">a) dvostruke  impregnirane gipskartonske ploče za mokre prostore, spojevi ploča bandažirani i gletani, d= 2,5 cm
</t>
  </si>
  <si>
    <t>Obračun po m2 stropa i m1 bočne maske.</t>
  </si>
  <si>
    <t>Stavka uključuje i izvedbu bočne maske za zatvaranje razlike u visini stropa.</t>
  </si>
  <si>
    <t>UA 50 mm profil</t>
  </si>
  <si>
    <t>Pozicija: geberiti</t>
  </si>
  <si>
    <t>Jedinična cijena sadrži i sva potrebna izrezivanja, rubne lajsne,  potrebne završne obrade, brušenja, fugiranja i čišćenja do gotovog opločenja. Stavka obuhvaća sve potrebne radove i materijale: dobava, ugradnja, fugiranje, čišćenje, usklađivanje detalja</t>
  </si>
  <si>
    <t>b) zidovi</t>
  </si>
  <si>
    <t>a) zidovi</t>
  </si>
  <si>
    <t>Obračun po m2 .</t>
  </si>
  <si>
    <t>Rubni krovni opšav- ravni krov</t>
  </si>
  <si>
    <t>a) priprema površine</t>
  </si>
  <si>
    <t>b) pod</t>
  </si>
  <si>
    <r>
      <t xml:space="preserve">Dobava, doprema potrebnog materijala i izvedba cementnog estriha, razreda C25, tlačne čvrstoće </t>
    </r>
    <r>
      <rPr>
        <sz val="10"/>
        <rFont val="Calibri"/>
        <family val="2"/>
      </rPr>
      <t>≥25N/mm2, lagano armiran, debljine d=6 cm. Gornja strana fino zaglađena u izvedbi kao podloga za završne slojeve poda. Estrih dilatirati od obodnih pregrada sa EPS-T debljine 1 cm ili jednakovrijednim materijalom, što je uključeno u cijenu. U cijenu uključen sav rad i materijal.</t>
    </r>
  </si>
  <si>
    <t>Obračun po m2 neto površine objekta.</t>
  </si>
  <si>
    <t>Pozicija: pročelja.</t>
  </si>
  <si>
    <t>A.2.8.</t>
  </si>
  <si>
    <t>10 000 Zagreb</t>
  </si>
  <si>
    <t>TROŠKOVNIK</t>
  </si>
  <si>
    <t>Obračun za m1.</t>
  </si>
  <si>
    <t>a) pod</t>
  </si>
  <si>
    <t>Podizanje izolacije i izvedba preklopa  i spojeva: preklopi, izvedba spojeva i podizanje uključeni su u jedinične cijene. Obračunava se tlocrtna projekcija - neto tlocrtna površina prostorije i vertikalno uzdizanje po m1.</t>
  </si>
  <si>
    <t>Stavka uključuje i zaštitu parketa nakon izvedbe kartonima.</t>
  </si>
  <si>
    <t>Protuprašni premaz u oknu dizala</t>
  </si>
  <si>
    <t>Stavka uključuje sav rad i materijal.</t>
  </si>
  <si>
    <t>HRVATSKI INSTITUT ZA POVIJEST</t>
  </si>
  <si>
    <t>Opatička 10</t>
  </si>
  <si>
    <t>OIB: 23296176633</t>
  </si>
  <si>
    <t>PALAČA BOGOŠTOVLJA I NASTAVE</t>
  </si>
  <si>
    <t>k.č. 1463, k.o. Centar</t>
  </si>
  <si>
    <t>dr.sc. Alan Braun, dipl.ing.arh.</t>
  </si>
  <si>
    <t>Obračun po komadu.</t>
  </si>
  <si>
    <t xml:space="preserve">Obračun po komadu. </t>
  </si>
  <si>
    <t>Obračun po m3 .</t>
  </si>
  <si>
    <t>Obračun po m3.</t>
  </si>
  <si>
    <t>Obračun po kompletu.</t>
  </si>
  <si>
    <t>RADOVI RUŠENJA I DEMONTAŽE UKUPNO</t>
  </si>
  <si>
    <t>Postojeći podovi na tlu</t>
  </si>
  <si>
    <t>Brušenje i priprema površine</t>
  </si>
  <si>
    <t>Dobava, doprema materijala i izvedba pripreme površine za daljnje slojeve. Brušenje keramike ili betonske podloge te popravak podloge reparaturnim mortom.</t>
  </si>
  <si>
    <t>U cijenu pripreme podloge uključeno je:
- strojno brušenje, odstranjivanje zaostalih materijala, čišćenje i usisavanje podloge
- nanošenje reparaturnog morta</t>
  </si>
  <si>
    <t>Oznaka sloja: PO1, PO2.</t>
  </si>
  <si>
    <t>Obračun po m2 pripreme i obrade poda.</t>
  </si>
  <si>
    <t>a) brušenje površine - keramičke pločice</t>
  </si>
  <si>
    <t>b) brušenje površine - betonska podloga</t>
  </si>
  <si>
    <t>c) popravak reparaturnim mortom</t>
  </si>
  <si>
    <t>1-komponentni, vlaknima ojačan reparaturni mort niskog skupljanja koji ispunjava zahtjeve Klase-R4 prema EN 1504-3 ili jednakovrijedno, sulfatno otporan.</t>
  </si>
  <si>
    <t>Svi slojevi moraju biti od istog dobavljača i međusobno kompatibilni.</t>
  </si>
  <si>
    <t>Samonivelirajući mort</t>
  </si>
  <si>
    <t>Obračun po m2 poda i m1 holkera.</t>
  </si>
  <si>
    <t>b) holker</t>
  </si>
  <si>
    <t>Samonivelirajuća cementna masa</t>
  </si>
  <si>
    <t>Dobava i ugradnja jednokomponentnog, elastičnog, poliuretanskog brtvila koje veže u kontaktu s vlagom iz zraka, sive boje, u reške širine 10mm slijedećih karakteristika:                                                                                                                  - klase PW EXT-INT CC 25 HM (EN 15651-4 ili jednakovrijedan)
- curenje : 0 mm (ISO 7390 ili jednakovrijedno)
- temperatura uporabe: od -40°C do +70°C
- vlačna čvrstoća: min. 1.1 MPa (pri -20°C)
- tvrdoća Shore A: min. 37
- otpornost na kidanje: 8 N/mm MPa (ISO 8340 ili jednakovrijedan)
- izduženje pri slomu: &gt; 600% (ISO 37 ili jednakovrijedan)
- elastičnost : &gt; 90% (ISO 7389 ili jednakovrijedan)
- mogućnost pomaka : 25%                                                                                                   Brtvilo se ugrađuje u prethodno pripremljene reške, sa PE ispunom za fuge i pripadnim temeljnim premazom. Svi proizvodi trebaju biti kompatibilni. Radove izvesti prema uputama proizvođača materijala.</t>
  </si>
  <si>
    <t>Završni transparentni premaz</t>
  </si>
  <si>
    <t xml:space="preserve">Dobava i ugradnja jednokomponentnog transparentnog premaza na bazi silana u etil-alkoholu, efekt ˝sjaj˝, specifična gustoće min. 0.86 kg/L, kao sredstva za njegu i brtvljenje betona. Otporan na masti, ulja i vodu. Premaz se nanosi u dva sloja, na podlogu prema uputama prozivođača materijala (prethodno obrađenu sa namjenskim temeljnim premazima, a što je uključeno u cijenu stavke). Proizvod se aplicira na podlogu sa microfiber mopom. Unutar 10 minuta (pri +23°C) od nanošenja, površina se treba ispolirati za ˝bijelim˝ diskom. Nakon poliranja ne smiju ostati lokve materijala. U vremenu sušenja treba isključiti grijanje i zaštititi od sunca. </t>
  </si>
  <si>
    <t>Nabava i dobava te postava separacijskog stabilnog filca (200 do 300 g/m2), na dnu terena građevinske jame. Obračun po m2 ugrađenog filca.</t>
  </si>
  <si>
    <t>Oznaka sloja: PO3.</t>
  </si>
  <si>
    <r>
      <t>Izvođenje nasipa debljine d=20 cm za temeljnu konstrukciju od nabijenog tucanika na zbijenom tlu u skladu sa građevinskim projektom. Posteljica na koju se ugrađuje sloj mora biti dobro zbijena.</t>
    </r>
    <r>
      <rPr>
        <sz val="10"/>
        <rFont val="Calibri"/>
        <family val="2"/>
      </rPr>
      <t xml:space="preserve"> Ugradnju izvoditi u slojevima od maksimalno 20 cm, uz zbijanje tako da se na završnom sloju nasipa postigne zbijenost  u skladu sa projektom što se dokazuje upisom u građevinski dnevnik od ovlaštenog ispitivača po izvedenom ispitivanju kružnom pločom  Ø30 cm prema HRN U.B1.046/68 na najmanje svakih 500 m2. Prije ugradbe za pogodnost materijala i pozicije izvođenja je potrebno dobiti suglasnost stručnog nadzora što se evidentira upisom u dnevnik. U cijenu uključene sve radnje na pripremi materijala (drobljenje, sortiranje), potrebno zbijanje i planiranje sukladno zahtjevima iz projekta.</t>
    </r>
  </si>
  <si>
    <t>Hidroizolacijski premaz novih podova na tlu</t>
  </si>
  <si>
    <t xml:space="preserve">Dobava i ugradnja jednokomponentnog elastomernog mikroarmiranog premaza na bazi polimer-bitumenske emulzije, prema EN 15815 ili jednakovrijedno i EN 14891 ili jednakovrijedno.                          Karakteristike: udio suhe tvari : min. 58% (volumen), temperatura izloženosti:-30°C to +70°C vodonepropusnost: min. 7 bara (DIN 1048-5 ili jednakovrijedno), premoštenje pukotine: min. 2.00 mm. Premaz se nanosi u dva sloja ukupne potrošnje min.5,5 kg/m2. Proizvod se aplicira postupkom špricanja pod pritiskom 4-5 bara. Na podlogu se prethodno aplicira odgovarajući temeljni premaz u sustavu proizvođača materijala, a što je uključeno u cijenu stavke. Armiranje sa poliesterskim pletivom prema uputama prozivođača materijala uključeno u cijenu stavke. Na radnim reškama i istakama ugradnja samoljepljive butilne trake obložene filcom, u sustavu proizvođača premaza, uključeno u cijenu stavke. </t>
  </si>
  <si>
    <t>Hidroizolacija temeljne konstrukcije novih podova na tlu - bitumenska ljepenka</t>
  </si>
  <si>
    <t xml:space="preserve">Dobava i postava horizontalne hidroizolacijske membrane na bazi bitumena sa elastomernim polimerima (SBS), debljine 4.0 mm, armirane staklenim voalom, sa donje strane zaštićena polietilensklom (PE) folijom, a sa gornje strane obložena kvarcnim pijeskom, prema EN 13969 ili jednakovrijedno.  Karakteristike: vlačna čvrstoća, uzdužna/poprečna: min. 1400/1600 N/mm (±20%) (12311-1 ili jednovrijedno), izduženje pri slomu, uzdužno/poprečno: min. 12/12 % (±15%) (EN 12311-1 ili jednakovrijedno), fleksibilnost pri niskoj temperaturi min. -15°C (EN 1109 ili jednakovrijedno). Membrana se ugrađuje u 2 sloja, sa bočnim preklopima min. 10 cm, a čeonim preklopima: min. 15cm. Membrana se uzdiže na vertikalne površine do gornje kote završne podne obloge. Na mjestim prodora cjevi koristi se polimer-bitumenskim premaz kompatibilan sa membranom.  Radove izvesti prema uputama proizvođača materijala. </t>
  </si>
  <si>
    <t>Temeljenje i podne ploče</t>
  </si>
  <si>
    <t>AB podna ploča podruma na tlu</t>
  </si>
  <si>
    <t>Obračun po m3 betona.</t>
  </si>
  <si>
    <t>Horizontalna hidroizolacija spremišta u podrumu</t>
  </si>
  <si>
    <t>Dobava, doprema i izvedba hidroizolacije izvođenjem hidroizolacijskog sloja od polimer-cementnog hidroizolacijskog premaza u debljini 0,30 cm. Hidroizolacijski premaz rubno brtvljen elastičnim vodonepropusnim trakama.</t>
  </si>
  <si>
    <t>a) podrum - spremište (PO3)</t>
  </si>
  <si>
    <t>Oznaka sloja: PO3, PRT1, PRT1a.</t>
  </si>
  <si>
    <t xml:space="preserve">Podložni beton ispod podne ploče </t>
  </si>
  <si>
    <t>AB podna ploča prizemlja na tlu</t>
  </si>
  <si>
    <t>Oznaka sloja: PRT1, PRT1a.</t>
  </si>
  <si>
    <t>Izvedba cementnog estriha poda u prizemlju</t>
  </si>
  <si>
    <t>Izvedba plivajućeg poda u sljedećim slojevima :
- cementni estrih debljine d=6 cm lagano armiran i dobro zaglađen 
- PE folija sa preklopima, debljine 0,25 mm, podignuta vertikalno uz rubove, preklopi dodatno prelijepljeni samoljepljivim trakama
- elastični sloj izvesti od elastificiranog ekspandiranog polistirena EPS-T debljine 1+1 cm
- ekstrudirani polistiren XPS, debljine 6 cm</t>
  </si>
  <si>
    <t>a) estrih, d=6 cm</t>
  </si>
  <si>
    <t>c) EPS-T, d=1+1 cm</t>
  </si>
  <si>
    <t>d) XPS, d=6 cm</t>
  </si>
  <si>
    <t>Oznaka sloja: PO3, PRT1, PRT1a, PRT2, PRT2a.</t>
  </si>
  <si>
    <t>Izvedba plivajućeg poda u sljedećim slojevima :
- cementni estrih debljine d=6 cm lagano armiran i dobro zaglađen 
- PE folija sa preklopima, debljine 0,25 mm, podignuta vertikalno uz rubove, preklopi dodatno prelijepljeni samoljepljivim trakama
- elastični sloj izvesti od elastificiranog ekspandiranog polistirena EPS-T debljine 1+1 cm
- ekstrudirani polistiren XPS, debljine 10 cm</t>
  </si>
  <si>
    <t>d) XPS, d=10 cm</t>
  </si>
  <si>
    <t>Oznaka sloja: PRT2, PRT2a.</t>
  </si>
  <si>
    <t>Oznaka sloja: PRT1, PRT1a, PRN1, PRN2.</t>
  </si>
  <si>
    <t xml:space="preserve">AB stropna ploča podruma, d=8 cm </t>
  </si>
  <si>
    <t>Oznaka sloja: PRN1.</t>
  </si>
  <si>
    <r>
      <t>Dobava, transport i betoniranje armirano-betonske</t>
    </r>
    <r>
      <rPr>
        <b/>
        <sz val="10"/>
        <rFont val="Calibri"/>
        <family val="2"/>
        <scheme val="minor"/>
      </rPr>
      <t xml:space="preserve"> stropne ploče </t>
    </r>
    <r>
      <rPr>
        <sz val="10"/>
        <rFont val="Calibri"/>
        <family val="2"/>
      </rPr>
      <t xml:space="preserve"> betonom C25/30, debljine d=8 cm u oplati. Prilikom ugradnje beton vibrirati, a zatim beton pravilno njegovati. Gornja površina fino zaglađena što je uključeno u stavku. </t>
    </r>
  </si>
  <si>
    <t xml:space="preserve">   c) perlit beton</t>
  </si>
  <si>
    <t>Ploča se izvodi s gornje strane svodova, prethodno se pete svodova zapunjavaju perlit betonom koji ujedno služi i kao oplata ploče, a što je uključeno u cijenu stavke. Debljina betona 35-60 cm.</t>
  </si>
  <si>
    <t xml:space="preserve">AB stropna ploča podruma, d=15 cm </t>
  </si>
  <si>
    <r>
      <t>Dobava, transport i betoniranje armirano-betonske</t>
    </r>
    <r>
      <rPr>
        <b/>
        <sz val="10"/>
        <rFont val="Calibri"/>
        <family val="2"/>
        <scheme val="minor"/>
      </rPr>
      <t xml:space="preserve"> stropne ploče </t>
    </r>
    <r>
      <rPr>
        <sz val="10"/>
        <rFont val="Calibri"/>
        <family val="2"/>
      </rPr>
      <t xml:space="preserve"> betonom C25/30, debljine d=15 cm u oplati. Prilikom ugradnje beton vibrirati, a zatim beton pravilno njegovati. Gornja površina fino zaglađena što je uključeno u stavku. </t>
    </r>
  </si>
  <si>
    <t>Oznaka sloja: PRN2.</t>
  </si>
  <si>
    <t>Izvedba cementnog estriha poda 1. kata</t>
  </si>
  <si>
    <t>Izvedba plivajućeg poda u sljedećim slojevima :
- cementni estrih debljine d=6 cm lagano armiran i dobro zaglađen 
- EPE pjenasta folija, d=0,5 cm</t>
  </si>
  <si>
    <t>Oznaka sloja: P1K1, P1K1a.</t>
  </si>
  <si>
    <t>b) parket</t>
  </si>
  <si>
    <t>c) sokl letvica</t>
  </si>
  <si>
    <t>Izvedba plivajućeg poda u sljedećim slojevima :
- cementni estrih debljine d=6 cm lagano armiran i dobro zaglađen 
- PE folija sa preklopima, debljine 0,25 mm, podignuta vertikalno uz rubove, preklopi dodatno prelijepljeni samoljepljivim trakama
- elastični sloj izvesti od elastificiranog ekspandiranog polistirena EPS-T debljine 3-5 cm</t>
  </si>
  <si>
    <t>c) EPS-T, d=3-5 cm</t>
  </si>
  <si>
    <t>Oznaka sloja: P1K2a.</t>
  </si>
  <si>
    <t>c) EPS-T, d=3 cm</t>
  </si>
  <si>
    <t>b) EPE pjenasta folija, d=0,5 cm</t>
  </si>
  <si>
    <r>
      <t xml:space="preserve">Dobava, doprema potrebnog materijala i izvedba cementnog estriha, razreda C25, tlačne čvrstoće </t>
    </r>
    <r>
      <rPr>
        <sz val="10"/>
        <rFont val="Calibri"/>
        <family val="2"/>
      </rPr>
      <t>≥25N/mm2, lagano armiran, debljine d=4 cm. Gornja strana fino zaglađena u izvedbi kao podloga za završne slojeve poda. Estrih dilatirati od obodnih pregrada sa EPS-T debljine 1 cm ili jednakovrijednim materijalom, što je uključeno u cijenu. U cijenu uključen sav rad i materijal.</t>
    </r>
  </si>
  <si>
    <t>Izvedba plivajućeg poda u sljedećim slojevima :
- cementni estrih debljine d=4 cm lagano armiran i dobro zaglađen 
- EPE pjenasta folija, d=0,5 cm</t>
  </si>
  <si>
    <t>a) estrih, d=4 cm</t>
  </si>
  <si>
    <t>Oznaka sloja: P1K2b, P1K2c.</t>
  </si>
  <si>
    <t>Oznaka sloja: P1K2, P1K2d.</t>
  </si>
  <si>
    <t>Oznaka sloja: P1K4.</t>
  </si>
  <si>
    <t>a) suhi estrih, d=6 cm</t>
  </si>
  <si>
    <t>b) EPS-T, d=2 cm</t>
  </si>
  <si>
    <t>c) OSB, d=2x2,2 cm</t>
  </si>
  <si>
    <t>Oznaka sloja: PO1, PO2, KG3.</t>
  </si>
  <si>
    <t>Izvedba cementnog estriha poda 2. kata</t>
  </si>
  <si>
    <t>c) EPS-T, d=2 cm</t>
  </si>
  <si>
    <t>Izvedba plivajućeg poda u sljedećim slojevima :
- cementni estrih debljine d=6 cm lagano armiran i dobro zaglađen 
- PE folija sa preklopima, debljine 0,25 mm, podignuta vertikalno uz rubove, preklopi dodatno prelijepljeni samoljepljivim trakama
- elastični sloj izvesti od elastificiranog ekspandiranog polistirena EPS-T debljine 3 cm</t>
  </si>
  <si>
    <t>Izvedba plivajućeg poda u sljedećim slojevima :
- cementni estrih debljine d=6 cm lagano armiran i dobro zaglađen 
- PE folija sa preklopima, debljine 0,25 mm, podignuta vertikalno uz rubove, preklopi dodatno prelijepljeni samoljepljivim trakama
- elastični sloj izvesti od elastificiranog ekspandiranog polistirena EPS-T debljine 4 cm</t>
  </si>
  <si>
    <t>Oznaka sloja: P2K2b.</t>
  </si>
  <si>
    <t>c) EPS-T, d=4 cm</t>
  </si>
  <si>
    <t>Oznaka sloja: P2K2, P2K2a, P2K2c.</t>
  </si>
  <si>
    <t>Oznaka sloja: P1K1a, P1K2d, P2K2c.</t>
  </si>
  <si>
    <t>Opločenje parketom - 2. kat ured 12, 14 i 16</t>
  </si>
  <si>
    <t>Parket se postavlja na prethodno izvedene OSB ploče koje su uključene u cijenu stavke. OSB ploče postavljaju se pero-utor sistemom, d=1,2 cm. Ispod OSB ploča ugrađuje se EPE pjenasta folija koja je uključena u cijenu stavke, d=0,5 cm.</t>
  </si>
  <si>
    <t>Oznaka sloja: P2K3.</t>
  </si>
  <si>
    <t>a) EPE pjenasta folija</t>
  </si>
  <si>
    <t>c) parket</t>
  </si>
  <si>
    <t>b) OSB ploče (pero utor), d=1,2 cm</t>
  </si>
  <si>
    <t>d) sokl letvica</t>
  </si>
  <si>
    <t>Parket se postavlja na prethodno izvedene OSB ploče koje su uključene u cijenu stavke. OSB ploče postavljaju se pero-utor sistemom, d=2x1,8 cm. Ispod OSB ploča ugrađuje se EPE pjenasta folija koja je uključena u cijenu stavke, d=0,5 cm.</t>
  </si>
  <si>
    <t>b) OSB ploče (pero utor), d=2x1,8 cm</t>
  </si>
  <si>
    <t>Oznaka sloja: P2K3a, P2K4.</t>
  </si>
  <si>
    <t>Opločenje parketom - 2. kat ured 13 i 15</t>
  </si>
  <si>
    <t>Oznaka sloja: P2K4.</t>
  </si>
  <si>
    <t>a) suhi estrih - nasip, d=6 cm</t>
  </si>
  <si>
    <t>Opločenje parketom - 2. kat centralno stubište</t>
  </si>
  <si>
    <t>Parket se postavlja na prethodno izvedene gipsvlaknaste ploče suhog estriha (s preklopom) koje su uključene u cijenu stavke. Ispod ploča ugrađuje se EPE pjenasta folija koja je uključena u cijenu stavke, d=0,5 cm.</t>
  </si>
  <si>
    <t>Oznaka sloja: P2K5.</t>
  </si>
  <si>
    <t>b) gipsvlaknaste ploče suhog estriha (s preklopom), d=1,8 cm</t>
  </si>
  <si>
    <t>Spušteni strop od vlagootpornih gipskartonskih ploča</t>
  </si>
  <si>
    <t xml:space="preserve">Opločenje parketom - potkrovlje </t>
  </si>
  <si>
    <t>Parket se postavlja na prethodno izvedene gipsvlaknaste ploče suhog estriha (s preklopom) koje su uključene u cijenu stavke. Ispod ploča ugrađuju se ploče kamene vune (2x2 cm) koje su uključena u cijenu stavke.</t>
  </si>
  <si>
    <t>a) ploče kamene vune, d=2x2 cm</t>
  </si>
  <si>
    <t>b) gipsvlaknaste ploče suhog estriha (s preklopom), d=2,3 cm</t>
  </si>
  <si>
    <t>Izvedba cementnog estriha poda potkrovlja</t>
  </si>
  <si>
    <t>a) suhi estrih - nasip, d=3-16 cm</t>
  </si>
  <si>
    <t>Oznaka sloja: PT1a, PT1b.</t>
  </si>
  <si>
    <t>Oznaka sloja: PRT1a, PRT2a, P1K2a, P1K2b, P2K2a, PT1b.</t>
  </si>
  <si>
    <t>Parket se postavlja na prethodno izvedene gipsvlaknaste ploče suhog estriha (s preklopom) koje su uključene u cijenu stavke. Ispod ploča ugrađuju se ploče kamene vune (2x5 cm) koje su uključena u cijenu stavke. Ispod vune ugrađuju se konstrukcijske ploče od laganog betona (2x1,25 cm) što je uključeno u cijenu stavke.</t>
  </si>
  <si>
    <t>a) konstrukcijske ploče od laganog betona, d=2x1,25 cm</t>
  </si>
  <si>
    <t>b) ploče kamene vune, d=2x5 cm</t>
  </si>
  <si>
    <t>c) gipsvlaknaste ploče suhog estriha, d=2x1,25 cm</t>
  </si>
  <si>
    <t>d) parket</t>
  </si>
  <si>
    <t>e) sokl letvica</t>
  </si>
  <si>
    <t>Oznaka sloja: PT5.</t>
  </si>
  <si>
    <t>Beton u padu na ravnom krovu</t>
  </si>
  <si>
    <r>
      <t>Dobava, transport i betoniranje betona u padu na ravnom krovu debljine d=3-9 cm, C 16/20. Betonska podloga u nagibu prema mjestima odvodnje 1</t>
    </r>
    <r>
      <rPr>
        <sz val="10"/>
        <rFont val="Calibri"/>
        <family val="2"/>
      </rPr>
      <t>%. Betonska podloga elastično dilatirana od podloge i obodnih pregrada, fino zaglađena u izvedbi.</t>
    </r>
  </si>
  <si>
    <t>b) podložni sloj geotekstila</t>
  </si>
  <si>
    <t>Oznaka sloja: ZG5</t>
  </si>
  <si>
    <t>Oznaka sloja: ZG6</t>
  </si>
  <si>
    <t>b) metalna potkonstrukcija UW/CW 100 mm s ispunom od mineralne vune debljine 10,0 cm za ispunu potkonstrukcija gipskartonskih pregrada</t>
  </si>
  <si>
    <t>Pregradni zid, d=12,5 cm</t>
  </si>
  <si>
    <t>c) parna brana, PE folija</t>
  </si>
  <si>
    <t>Oznaka sloja: ZN4</t>
  </si>
  <si>
    <t>Pregradni zid, d=32 cm</t>
  </si>
  <si>
    <t>b) dvostruka metalna potkonstrukcija UW/CW 75 mm s ispunom od mineralne vune debljine 8,0 cm za ispunu potkonstrukcija gipskartonskih pregrada sa zračnim prostorom</t>
  </si>
  <si>
    <t>Zidna obloga od GK ploča</t>
  </si>
  <si>
    <t>Obračun po m2 obloge.</t>
  </si>
  <si>
    <t>Zidna obloga od GK ploča u radijusu</t>
  </si>
  <si>
    <t>Dobava, dostava i izrada obloge zida od dvostrukih gipskartonskih ploča.
Sastav obloge je:</t>
  </si>
  <si>
    <t>Dobava, dostava i izrada obloge zida od dvostrukih gipskartonskih ploča. Obloga se izvodi u radijusu prema projektu te je potrebno korištenje odgovarajućih profila i ploča prema uputama proizvođača odabranog sistema kako bi se osiguralo postizanje radijusa.
Sastav obloge je:</t>
  </si>
  <si>
    <t xml:space="preserve">a) dvostruke  gipskartonske ploče za kružne zidove, spojevi ploča bandažirani i gletani, d= 2,5 cm
</t>
  </si>
  <si>
    <t>b) metalna potkonstrukcija UW/CW 75 mm sa zračnim prostorom prema projektu</t>
  </si>
  <si>
    <t>Zidna obloga od GK ploča direktno lijepljenih na zid</t>
  </si>
  <si>
    <t>a) obloga od gipskartonskih ploča</t>
  </si>
  <si>
    <t xml:space="preserve">Dobava, dostava i izrada obloge zida od gipskartonskih ploča koje se direktno lijepe na postojeći zid, d=1,25 cm. Stavka uključuje sve potrebne slojeve iz sustava proizvođača za direktno lijepljenje obloge na zid.
</t>
  </si>
  <si>
    <t>Zidna obloga vodokotlića od GKI ploča, d= 10,0cm</t>
  </si>
  <si>
    <t>b) metalna potkonstrukcija UW/CW 75 mm sa zračnim prostorom za instalacije</t>
  </si>
  <si>
    <t>Dobava, dostava i izrada obloge vodokotlića od dvostrukih impregniranih gipskartonskih ploča sa zračnim prostorom za instalacije. Stavka uključuje i izvedbu potkonstrukcije i horizontalne poklopnice na pozicijama gdje obloga ne dolazi do stropa.
Sastav obloge je:</t>
  </si>
  <si>
    <t>Oznaka sloja: ZG8</t>
  </si>
  <si>
    <t xml:space="preserve">a) dvostruke požarne  gipskartonske GKF ploče, spojevi ploča bandažirani i gletani, d= 2,5 cm
</t>
  </si>
  <si>
    <t>b) dvostruka metalna potkonstrukcija UW/CW 100 mm s ispunom od mineralne vune debljine 10,0 cm za ispunu potkonstrukcija gipskartonskih pregrada sa zračnim prostorom</t>
  </si>
  <si>
    <t>Požarni zid, d=15 cm</t>
  </si>
  <si>
    <t xml:space="preserve">c) dvostruke požarne  gipskartonske GKF ploče, spojevi ploča bandažirani i gletani, d= 2,5 cm
</t>
  </si>
  <si>
    <t>Dobava, doprema i ugradnja UA profila, sa svim pričvrsnim materijalom za prihvat na nosivu konstrukciju.  Izvesti kao ojačanje za vrata i na pozicijama čela zidova.</t>
  </si>
  <si>
    <t>UA 100 mm profil</t>
  </si>
  <si>
    <t>Dobava, doprema i ugradnja UA profila 75 mm kao ojačanje na pozicijama vodokotlića i sanitarne opreme, sa svim pričvrsnim materijalom za prihvat na nosivu konstrukciju.</t>
  </si>
  <si>
    <t>Dobava, doprema i montaža ojačanja u gipskartonskim elementima za teže predmete i rukohvat. Ojačanje se izvodi OSB pločom sa svim potrebnim spojim i pričvrsnim materijalom ili otežanom pločom iz sustava odabranog proizvođača.</t>
  </si>
  <si>
    <t>Ojačanje za rukohvat</t>
  </si>
  <si>
    <t>Nadvoj</t>
  </si>
  <si>
    <t>Dobava, doprema i montaža nadvoja iznad vrata ili stijena. Stavka uključuje svu potrebnu potkonstrukciju iz sustava proizvođača odabranog sustava. Sastav nadvoja:</t>
  </si>
  <si>
    <t>U cijenu uključeno bandažiranje i gletanje spojeva  i priprema za izvedbu soboslikarskih radova.</t>
  </si>
  <si>
    <t>Kazeta za klizna vrata</t>
  </si>
  <si>
    <t>Stavka uključuje sav potreban spojni i pričvrsni materijal do potpune gotovosti sustava.</t>
  </si>
  <si>
    <t>Dobava, doprema i montaža sustava za izvedbu kliznih vrata unutar gipskartonskog zida. Sustav se sastoji od kazete, kompleta  nosača i vodilica.</t>
  </si>
  <si>
    <t>a) dimenzija vrata koje ulaze u kazetu 70x205 cm</t>
  </si>
  <si>
    <t>Zidanje</t>
  </si>
  <si>
    <t>Tehnologiju izvođenja zidanih zidova potrebno je prilagoditi statičkom proračunu.</t>
  </si>
  <si>
    <t>Oznaka zida: ZN3, ZN3a, ZG1</t>
  </si>
  <si>
    <t>a) FPO folija</t>
  </si>
  <si>
    <t>Vertikalna hidroizolacija</t>
  </si>
  <si>
    <t>Mort se aplicira na pripremljenu zidanu površinu postupkom špricanja na način da sloj 5mm prekrije cijelu površinu. Uključeno zapunjavanje većih šupljina.</t>
  </si>
  <si>
    <t xml:space="preserve"> Obračun po m2 površine zida.</t>
  </si>
  <si>
    <t>Hidroizolacija zidova u tlu</t>
  </si>
  <si>
    <t xml:space="preserve">Obračun po m2 površine zida. </t>
  </si>
  <si>
    <t>Dobava, doprema materijala  i ugradnja veznog sloja za završnu žbuku koristeći epoksidni premaz posipan sa kvarcnim pijeskom. Graulacija 0,7-1,2 mm.  Vezni sloj mora biti kompatibilan sa izvedenim paroi vodonepropusnim mortom te završnom žbukom.</t>
  </si>
  <si>
    <t xml:space="preserve">Dobava, doprema materijala i ugradnja trokomponentnog epoksi-cememtnog tiksotropnog morta, u debljni min. 2mm.  
Proizvod treba zadovoljavati zahtjeve za kontrolu vlage (Princip 2, metoda 2.3, prema EN 1504-9 ili jednakovrijeno), za fizičku otpornost  (Princip 5, metoda 5.1 , prema EN 1504-9 ili jednakovrijedno), za zadržavanje i vraćanje pasiviteta (Princip 7, metoda 7.1 i 7.2, prema EN 1504-9 ili jednakovrijedno), za povećanje otpornost (Princip 8, metoda 8.3, prema EN 1504-9 ili jednakovrijedno). Premaz se aplicira preko namjenskog temeljnog premaza iz sustava proizvođača što je uključeno u cijenu stavke. Radove izvesti prema uputama proizvođača materijala. </t>
  </si>
  <si>
    <t>Bubriva traka u sprinkeler bazenu</t>
  </si>
  <si>
    <t xml:space="preserve">Dobava, doprema materijala i ugradnja bubrive trake na bazi akrila, koja se lijepi svojom većom dimenzijom na površinu sa specijalnim poliuretansko-hibridnim brtvilom u sustavu  (potrošnja 100 mL/m1). Karakteristike: 
dimenzije: min. 10mm x 20mm, 
bubrenje: ≥ 150% (nakon 14 dana) (DIN 53521 ili jednakovrijedan) vlačna čvrstoća: ≥ 2.5 N/mm2 (DIN 53504 ili jednakovrijedan),
 tvrdoća, Shore A: min. 75 +/- 5 (DIN 53505 ili jednakovrijedan), izduženje pri slomu: ≥ 250% (DIN 53504 ili jednakovrijedan.)
</t>
  </si>
  <si>
    <t>Traka se ugrađuje na spoj ploča-zid, na spoj zid-zid i oko prodora. Radove izvesti prema uputama prozivođača materijala</t>
  </si>
  <si>
    <t>Polimercementni premaz zidova u sprinkler bazenu</t>
  </si>
  <si>
    <t xml:space="preserve">Dobava, doprema materijala i ugradnja jednokomponentnog polimer-cementnog premaza. 
Minimalne karaktersitike koje treba zadovoljiti: 
otpornost na pozitivan pritisak vode do 5 bara (EN 12390-8 ili jednakovrijeno), 
prionjivost na podlogu 2,60 MPa (EN 1542 ili jednakovrijedno), propusnost na tekućine 0,016 kg m-2h-0,5 (EN 1062-3 ili jednakovrijedno), 
paropropusnost Sd = 2,91m (EN ISO 7783-1 ili jednakovrijedno). </t>
  </si>
  <si>
    <t xml:space="preserve">Na spojeve pod-zid i zid-zid se ugrađuju elastične vodonepropusne trake sa kaširanom staklenom mrežicom. Svi proizvodi moraju biti u sustavu jednog proizvođača materijala. </t>
  </si>
  <si>
    <t xml:space="preserve">Premaz se nanosi u dva sloja ukupne debljine 3mm. Premaz se nanosi na podlogu pripremljenu sa reparaturnim mortom- jednokomponentnog mikroarmirani polimer-cementnog morta, dobre prionjivosti na beton i na ziđe.  Reparaturni mort mora biti kompatibilan sa premazom. </t>
  </si>
  <si>
    <t xml:space="preserve">Dobava, doprema materijala i obrada prodora kroz hidroizolaciju u sprinkler bazenu koristeći trake iz sustava proizvođača, koje se ugrađuju sa epoksidnim ljepilom. Stavka uključuje i sve dodatne predranje sukladno uputama proizvođača za izvedbu .Svi proizvodi moraju biti u sustavu jednog proizvođača materijala. </t>
  </si>
  <si>
    <t>Obrada prodora zidova u sprinkler bazenu</t>
  </si>
  <si>
    <t>Prekid kapilarne vlage</t>
  </si>
  <si>
    <t xml:space="preserve">Dobava, doprema materijala i ugradnja mase na bazi silana za prekid kapilarne vlage (relativne gustoće 0.92 kg/L, pH = 8) sa WTA Certifikatom (WTA - znanstveno-tehničku radnu grupu za očuvanje građevinskih objekata i njegu spomenika ili jednakovrijedno). Proizvod  se ugrađuje jednostrano u izbušene otvore Ø12mm (za zidove debljine do 130cm), odnosno otvore Ø20mm (za zidove debljine veće od 200cm - kod jednostranog bušenja), za razmaku 12cm, u jednoj ravnini sljubnica. Nakon utiskivanja mase na bazi silana otvori se zatvore sa gumenim čepovima ili mortom. Nakon perioda migracije silana (7-10 dana), završno se otvori zatvaraju sa epoksidnim / poliesterskim ljepilom / mortom. Radove izvesti prema uputama proizvođača materijala. </t>
  </si>
  <si>
    <t>Obračun po m1 površine zida.</t>
  </si>
  <si>
    <t>Izvedba unutarnje produžne žbuke na novim zidanim zidovima</t>
  </si>
  <si>
    <t>Dobava potrebnog materijala i strojno žbukanje stropova i zidova produžnom vapneno cementnom žbukom za unutarnje radove u dva sloja grubim i finim, d=3 cm s prethodno izvedenim cementnim špricem.
Gotova ožbukana površina mora biti ravna i zaglađena te tako pripremljena za ličilačke radove.
U cijenu uključena kutna armaturna mrežica u uglovima zidova te pocinčani kutni profil za mehaničko učvršćenje kutova.
U cijenu uključena potrebna radna skela te sav rad i  materijal.</t>
  </si>
  <si>
    <t>Obračun po m2 ožbukanih ploha.</t>
  </si>
  <si>
    <t xml:space="preserve">Ploče  mineralne vune ploče lijepljene odgovarajućim ljepilom, brtvljene na spojevima, dodatno mehanički sidrene u podlogu. Mehaničko pričvršćivanje odgovarajućim pričvrsnicama iz atestiranog sustava proizvođača, a njihov broj po m² površine potrebno je dokazati statičkim proračunom (u praksi min. 6 kom/m²).  Upuštene pričvrsnice zatvoriti odgovarajućim rondelama iz sustava proizvođača. Tip i duljinu pričvrsnice obavezno uskladiti sa traženom nosivosti i vrstom podloge na koju se postavljaju. </t>
  </si>
  <si>
    <t xml:space="preserve">Dobava i ugradnja svih potrebnih materijala za izvedbu etics fasadnog sustava sa izolacijskim pločama  mineralne vune,  sa završnom obradom žbukom na bazi silikona. </t>
  </si>
  <si>
    <t>Nanošenje završne žbuke na bazi silikona</t>
  </si>
  <si>
    <t>Oznaka slojeva: ZN3, ZN3a</t>
  </si>
  <si>
    <t>a) izolacija, d= 10 cm ( sloj ZN3)</t>
  </si>
  <si>
    <t>b) izolacija, d= 20 cm ( sloj ZN3a)</t>
  </si>
  <si>
    <t>c) završna žbuka</t>
  </si>
  <si>
    <t>Zidovi prema negrijanom prostoru - novi zidovi</t>
  </si>
  <si>
    <t>Prije lijepljenja izolacijskih ploča potrebno je izvesti sloj za izravnavanje.
Stavka uključuje izravnanje produžnom žbukom debljine prema potrebi ovisno o stanju postojećeg zida, približno 2-3 cm.</t>
  </si>
  <si>
    <t xml:space="preserve">  d)  </t>
  </si>
  <si>
    <t>e)</t>
  </si>
  <si>
    <t>a) sloj za izravnanje</t>
  </si>
  <si>
    <t>Oznaka slojeva: ZN1, ZN1a, ZN2</t>
  </si>
  <si>
    <t>a) izolacija, d= 20 cm ( sloj ZN1)</t>
  </si>
  <si>
    <t>b) izolacija, d= 5 cm ( sloj ZN1a, ZN2)</t>
  </si>
  <si>
    <t>Oznaka sloja: ZT1, ZV8</t>
  </si>
  <si>
    <t>Vezni sloj za završnu žbuku na hidroizolacijski mort zida u tlu</t>
  </si>
  <si>
    <t>Dobava, doprema materijal te izvedba sloja toplinske izolacije na postojećim zidovima. Prije izvedbe izolacije izvodi se sloj za izravnanje- produžna žbuka debljine 2-3 cm. Kod svježe nanesenih masa za
izravnavanje pridržavati se propisanog vremena sušenja te samo kad je površina suha smije se započeti ugradnjom izolaciskih ploča.</t>
  </si>
  <si>
    <t>Stavka uključuje izvedbu sloja izolacije mineralnih temoizolacijskih ploča, d= 12,5 cm.  Ploče se lijepe za površinu mortom iz sustava prizvođača.   Laki mort nazubljenim gleterom (zupci 10 - 12 mm) nanijeti po cijeloj površini termoizolacijskih ploča. Debljina sloja  lakog morta mora biti otprilike 8 mm (ovisno o ravnini površine). Sve izvesti prema uputama proizvođača sustava.</t>
  </si>
  <si>
    <t xml:space="preserve">Stavka uključuje i obradu termoizolacijskih ploče u kompletnoj površni lakim mortom koji se nanosi u debljii 5 mm nazubljenim gleterom. U sloj morta utisnuti mrežicu od staklenih vlakana (160 gr) te nanijeti odgovarajući završni sloj (fini tankoslojni gips debljine do 5 mm ili laki mort iz susatava proizvođača odabranog sustava) kao priprema za završne obrade. </t>
  </si>
  <si>
    <t>Stavka uključuje sve komponente jednog proizvođača te sav potreba rad i materijal, završne, kutne i rubne lasjne do potpune gotovosti i funkcionalnosti</t>
  </si>
  <si>
    <t>Oznaka sloja: ZV1, ZV2, ZS1a</t>
  </si>
  <si>
    <t>Obračun za m2.</t>
  </si>
  <si>
    <t>b) termoizolacijske ploče, d= 12,5 cm</t>
  </si>
  <si>
    <t>c) obrada termoizolacijskih ploča</t>
  </si>
  <si>
    <t>Mineralne termoizolacijske ploče vanjskih zidova i zidova prema susjedu u prizemlju na sloju izolacije</t>
  </si>
  <si>
    <t xml:space="preserve">Dobava, doprema materijal te izvedba sloja toplinske izolacije na postojećim zidovima nakon izvedbe hidroizolacije i prekida kapilarne vlage. </t>
  </si>
  <si>
    <t>a) termoizolacijske ploče, d= 12,5 cm</t>
  </si>
  <si>
    <t>b) obrada termoizolacijskih ploča</t>
  </si>
  <si>
    <t>Mineralne termoizolacijske ploče vanjskih zidova i zidova prema susjedu, d= 12,5 cm</t>
  </si>
  <si>
    <t>Mineralne termoizolacijske ploče vanjskih zidova i zidova prema susjedu, d= 7,5 cm</t>
  </si>
  <si>
    <t>Stavka uključuje izvedbu sloja izolacije mineralnih temoizolacijskih ploča, d= 7,5 cm.  Ploče se lijepe za površinu mortom iz sustava prizvođača.   Laki mort nazubljenim gleterom (zupci 10 - 12 mm) nanijeti po cijeloj površini termoizolacijskih ploča. Debljina sloja  lakog morta mora biti otprilike 8 mm (ovisno o ravnini površine). Sve izvesti prema uputama proizvođača sustava.</t>
  </si>
  <si>
    <t>b) termoizolacijske ploče, d= 7,5 cm</t>
  </si>
  <si>
    <t>Oznaka sloja: ZV1a, ZV2a, ZS1b</t>
  </si>
  <si>
    <t>Mineralne termoizolacijske ploče vanjskih zidova i zidova prema susjedu, d= 5,0 cm</t>
  </si>
  <si>
    <t>Stavka uključuje izvedbu sloja izolacije mineralnih temoizolacijskih ploča, d= 5,0 cm.  Ploče se lijepe za površinu mortom iz sustava prizvođača.   Laki mort nazubljenim gleterom (zupci 10 - 12 mm) nanijeti po cijeloj površini termoizolacijskih ploča. Debljina sloja  lakog morta mora biti otprilike 8 mm (ovisno o ravnini površine). Sve izvesti prema uputama proizvođača sustava.</t>
  </si>
  <si>
    <t>Oznaka sloja: ZV1b, ZS1</t>
  </si>
  <si>
    <t>b) termoizolacijske ploče, d= 5,0 cm</t>
  </si>
  <si>
    <t>a) termoizolacijske ploče, d= 5,0 cm</t>
  </si>
  <si>
    <t>Oznaka sloja: ZS1</t>
  </si>
  <si>
    <t>Oznaka sloja: ZV1c, ZV2b, Z3</t>
  </si>
  <si>
    <t>b) termoizolacijske ploče, d= 20,0 cm</t>
  </si>
  <si>
    <t>Mineralne termoizolacijske ploče vanjskih zidova i zidova prema susjedu, d= 20,0 cm</t>
  </si>
  <si>
    <t>Stavka uključuje izvedbu sloja izolacije mineralnih temoizolacijskih ploča, d= 20,0 cm.  Ploče se lijepe za površinu mortom iz sustava prizvođača.   Laki mort nazubljenim gleterom (zupci 10 - 12 mm) nanijeti po cijeloj površini termoizolacijskih ploča. Debljina sloja  lakog morta mora biti otprilike 8 mm (ovisno o ravnini površine). Sve izvesti prema uputama proizvođača sustava.</t>
  </si>
  <si>
    <r>
      <t>Obračun po m2 ožbukanih ploha</t>
    </r>
    <r>
      <rPr>
        <sz val="10"/>
        <color rgb="FFFF0000"/>
        <rFont val="Calibri"/>
        <family val="2"/>
        <scheme val="minor"/>
      </rPr>
      <t>.</t>
    </r>
  </si>
  <si>
    <t>b) stropovi</t>
  </si>
  <si>
    <t xml:space="preserve">Otvori oko kojih postoje uložine (špaletne) do 20 cm širine, odbijaju se na slijedeći način:
a) otvori veličine do 3 m2 ne odbijaju se, a njihove uložine se ne obračunavaju;
b) kod otvora veličine preko 3 odbijaju se površine preko 3 m2, a njihove uložine se ne obračunavaju posebno;
</t>
  </si>
  <si>
    <t>Priprema podloge prije izolacije</t>
  </si>
  <si>
    <t>a) zid debljine 50 cm- zid prizemlja prema susjedu</t>
  </si>
  <si>
    <t>Hidroizolacija zidova prizemlja prema susjedu</t>
  </si>
  <si>
    <t xml:space="preserve">Prekid  kapilarne vlage - zidovi prizemlja </t>
  </si>
  <si>
    <t xml:space="preserve">Dobava, doprema materijala  i ugradnja jednokomponentnog vodonepropusnog cementnog morta, sa sposobnosti kristalizacije. Ispunjava zahtjeve prema EN 1504-2 ili jednakovrijedno. 
Karakteristike proizvoda:                                                              
 - tlačna čvrstoća: min. 35 MPa (EN 12190 ili jednakovrijedno)                                               
 - tlačna čvrstoća: min. 6 MPa (EN 12190 ili jednakovrijedno)                                                                                                  - specifična gustoća: min. 1,90 kg/L                                                                                                            - maksimalno zrno agregata: Dmax: 1,0 mm                                                                                                                                                                                                                                                  - paropropusnost: Sd &lt; 5m (EN ISO 7783 ili jednakovrijedno                                                                                 - kapilarno upijanje: &lt; 0,1 kg m-2 h-0,5 (EN 1062-3 ili jednakovrijedno)                                    </t>
  </si>
  <si>
    <t xml:space="preserve">Proizvod se na podlogu nanosi postupkom špricanja / ručno u ukupnoj suhoj debljini min. 2mm. Radove izvesti prema uputama proizvođača materijala. </t>
  </si>
  <si>
    <t>Oznaka sloja: ZS1, ZS1a</t>
  </si>
  <si>
    <t>Hidroizolacija vanjskih zidova prizemlja</t>
  </si>
  <si>
    <t>Oznaka sloja: ZV1</t>
  </si>
  <si>
    <t>Oznaka sloja: ZG2</t>
  </si>
  <si>
    <t>Završna obrada zidova prizemlja disperzivnom bojom na poziciji sanacije kapilarne vlage</t>
  </si>
  <si>
    <t>Obračun po m² obrađenog zida.</t>
  </si>
  <si>
    <t>Obračun keramike po neto površini, sav otpadni materijal uračunati u jediničnu cijenu stavke.</t>
  </si>
  <si>
    <t>Obračun po m2 opločenja, m2 poklopnice vodokotlića i m1 špalete</t>
  </si>
  <si>
    <t>b) poklopnica vodokotlića</t>
  </si>
  <si>
    <t>c) špalete</t>
  </si>
  <si>
    <t>Stavka uključuje i opločenje na poklopnicama obloge vodokotlića te opločenje špaleta uz prozore.</t>
  </si>
  <si>
    <t>rš 15-20 cm</t>
  </si>
  <si>
    <t>rš 25-30 cm</t>
  </si>
  <si>
    <t>rš 45-50 cm</t>
  </si>
  <si>
    <t>rš 70-75 cm</t>
  </si>
  <si>
    <t>rš 35-40 cm</t>
  </si>
  <si>
    <t>rš 65-70 cm</t>
  </si>
  <si>
    <t>rš 10-15 cm</t>
  </si>
  <si>
    <t>Opločenje zidova čajne kuhinje</t>
  </si>
  <si>
    <t>Keramika velikoplošna porculanska, ojačana armaturom od staklenih vlakana na poleđini, zidna 3.5mm.</t>
  </si>
  <si>
    <t>Opločenje zidova gospodarskog spremišta sa WC-om</t>
  </si>
  <si>
    <t>Stavka uključuje i opločenje na poklopnicama obloge vodokotlića te opločenje špaleta.</t>
  </si>
  <si>
    <t>c) špalete rš 30-30 cm</t>
  </si>
  <si>
    <t>Razgradnja zidanog šanka u podrumu</t>
  </si>
  <si>
    <t>U jedinične cijene svih stavki uključen:
- sav trošak horizontalnog i vertiklanog tranporta te utovar i odvoz na deponiju
- sve nakanade i takse za sortiranje i odlaganje materijala na deponiju
- sva trošak prilagodbe vezane za skučenost prostora zbog nemogućnosti pristupa strojeva i alata</t>
  </si>
  <si>
    <t>Razgradnja zidanog zida u podrumu- prostor ventilacije</t>
  </si>
  <si>
    <t>a) demontaža</t>
  </si>
  <si>
    <t>c) ponovna montaža</t>
  </si>
  <si>
    <t>Obračun za komad demontiranog stubišta.</t>
  </si>
  <si>
    <t>Demontaža čeličnog stubišta iz kotlovnice u podrumu</t>
  </si>
  <si>
    <t>Obračun za m3.</t>
  </si>
  <si>
    <t>a) jednokrilna vrata_podrum</t>
  </si>
  <si>
    <t>Razgradnja zidanog zida _ debljine do 20 cm</t>
  </si>
  <si>
    <t>a) zidovi u prizemlju</t>
  </si>
  <si>
    <t>Razgradnja zidanog zida _ debljine veće od 20 cm</t>
  </si>
  <si>
    <t>Razgradnja zidanog zida  zbog novih otvora</t>
  </si>
  <si>
    <t>Razgradnja zidanog zida debljina većih od 20 cm uz korištenje odgovarajućih alata na pozicijama proširenja ili pomicanja otvora za vrata. Stavka uključuje i rušenje obloga kojima je obložen element koji se ruši i rušenje manjih betonskih dijelova unutar zida kao nadvoj. Stavka uključuje usitnjavanje ruševina, vertikalni i horizontalni transport,  utovar i odvoz na deponij. Izvesti pažljivo kako se ne bi oštetili dijelovi konstrukcije i susjedne plohe koji se ne ruše.</t>
  </si>
  <si>
    <t>Razgradnja zidanog šanka visine 120 cm u podrumu uz korištenje odgovarajućih alata. Stavka uključuje usitnjavanje ruševina, vertikalni i horizontalni transport, rušenje obloga kojima je obložen element koji se ruši, utovar i odvoz na deponij. Izvesti pažljivo kako se ne bi oštetili dijelovi konstrukcije i susjedne plohe koji se ne ruše.</t>
  </si>
  <si>
    <t>Razgradnja zidanog zida debljina do 20 cm u uz korištenje odgovarajućih alata. Stavka uključuje i rušenje obloga kojima je obložen element koji se ruši i rušenje manjih betonskih dijelova unutar zida kao nadvoj. Stavka uključuje usitnjavanje ruševina, vertikalni i horizontalni transport,  utovar i odvoz na deponij. Izvesti pažljivo kako se ne bi oštetili dijelovi konstrukcije i susjedne plohe koji se ne ruše.</t>
  </si>
  <si>
    <t>Razgradnja zidanog zida debljina većih od 20 cm u uz korištenje odgovarajućih alata. Stavka uključuje i rušenje obloga kojima je obložen element koji se ruši i rušenje manjih betonskih dijelova unutar zida kao nadvoj. Stavka uključuje usitnjavanje ruševina, vertikalni i horizontalni transport,  utovar i odvoz na deponij. Izvesti pažljivo kako se ne bi oštetili dijelovi konstrukcije i susjedne plohe koji se ne ruše.</t>
  </si>
  <si>
    <t>Demontaža drvenih elemenata</t>
  </si>
  <si>
    <t>a) element porte, L=140 cm</t>
  </si>
  <si>
    <t>b) element drvenog pulta, L=370 cm</t>
  </si>
  <si>
    <t>b) jednokrilna vrata_prizemlje</t>
  </si>
  <si>
    <t>c) dvokrilna vrata_prizemlje</t>
  </si>
  <si>
    <t>d) mimokretna vrata_ prizemlje</t>
  </si>
  <si>
    <t>e) stijena sa vratima_ prizemlje, L=200 cm</t>
  </si>
  <si>
    <t>Demontaža unutarnjih vrata u zidovima koji se zadržavaju</t>
  </si>
  <si>
    <t>Demontaža unutarnjih vrata u zidovima koji se uklanjaju</t>
  </si>
  <si>
    <t>Razgradnja postojećih slojeva poda prizemlja sa podnom pločom</t>
  </si>
  <si>
    <t>Demontaža postojećih spuštenih stropova</t>
  </si>
  <si>
    <t>a) podrum</t>
  </si>
  <si>
    <t>b) prizemlje</t>
  </si>
  <si>
    <t>a) prizemlje</t>
  </si>
  <si>
    <t>Razgradnja postojećih slojeva poda prizemlja. Slojevi poda kamene ploče ili parket završni sloj, estrih, hidroizolacije i betonska ploča. Stavka uključuje usitnjavanje ruševina, vertikalni i horizontalni transport te utovar i odvoz na deponij. Izvesti pažljivo kako se ne bi oštetili dijelovi konstrukcije i susjedne plohe koji se ne ruše.</t>
  </si>
  <si>
    <t>b) jednokrilna vrata_1. kat</t>
  </si>
  <si>
    <t>f) jednokrilna vrata_1. kat</t>
  </si>
  <si>
    <t>g) dvokrilna vrata_1. kat</t>
  </si>
  <si>
    <t>h) mimokretna vrata dvokrilna_ 1. kat</t>
  </si>
  <si>
    <t>i) mimokretna vrata jednokrilna_ 1. kat</t>
  </si>
  <si>
    <t>c) mimokretna vrata_1. kat</t>
  </si>
  <si>
    <t>b) otvori u zidovima_ 1.kat</t>
  </si>
  <si>
    <t>a) otvori u zidovima_prizemlje ( otvor za vrata i novi pult)</t>
  </si>
  <si>
    <t>Porculanska keramika, dimenzije 60x60 cm.</t>
  </si>
  <si>
    <t>Keramika se postavlja na zid kao traka duljine 400 cm i visine 60 cm.</t>
  </si>
  <si>
    <t xml:space="preserve">Keramika se postavlja do visine 210 cm. </t>
  </si>
  <si>
    <t>Kod obračuna bojenja otvori veličine do 3 m2 ne odbijaju se od izmjerene površine.  Kod većih otvora odbija se razlika veća od 3 m2.
Istaci i udubine (špalete, niše i slično) ne obračunavaju se posebno već su uključene u obračun stavki.</t>
  </si>
  <si>
    <t>Obračun za komplet demontiranog stubišta.</t>
  </si>
  <si>
    <t>Demontaža postojećih gipskartonskih obloga</t>
  </si>
  <si>
    <t>c) 1. kat</t>
  </si>
  <si>
    <t>d) 2. kat</t>
  </si>
  <si>
    <t>b) zidovi_ 1. kat</t>
  </si>
  <si>
    <t>c) zidovi_2. kat</t>
  </si>
  <si>
    <t>c) otvori u zidovima_ 2.kat</t>
  </si>
  <si>
    <t>j) jednokrilna vrata_2. kat</t>
  </si>
  <si>
    <t xml:space="preserve">Demontaža drvenih stepenica </t>
  </si>
  <si>
    <t>Dobava materijala i zatvaranje otvora u postojećim zidovima nakon pomicanja otvora od šuplje blok opeke od gline, debljine prema postojećem zidu u kojem se zatvara otvor u produžnom mortu M-10, prema uputama  i tehnologiji proizvođača. Horizontalne i vertikalne sljubnice u punoj širini zapunjavati mortom.  Stavka uključuje i povezivanje novog dijela zida sa postojećim prema uputama projektanta konstrukcije.</t>
  </si>
  <si>
    <t>Obračun po 2 kose projekcije krova.</t>
  </si>
  <si>
    <t>a) rogovi i daske</t>
  </si>
  <si>
    <t>b) folija</t>
  </si>
  <si>
    <t>c) pokrov</t>
  </si>
  <si>
    <t>Demontaža jednostrešnog krovišta_ pokrov lim</t>
  </si>
  <si>
    <t>Demontaža krovišta glavnog krila_ pokrov crijep</t>
  </si>
  <si>
    <t>b) pokrov</t>
  </si>
  <si>
    <t>a) pokrov</t>
  </si>
  <si>
    <t>Demontaža krovnih kućica</t>
  </si>
  <si>
    <t>Demontaža postojećih gipskartonskih zidova</t>
  </si>
  <si>
    <t>Demontaža drvenog stubišta u dijelu potkrovlja</t>
  </si>
  <si>
    <t>Obračun za komplet stubišta.</t>
  </si>
  <si>
    <t>komp</t>
  </si>
  <si>
    <t>Demontaža drvenog stubišta u dijelu potkrovlja. Stubište dimenzija (8x25,75+9x13,13) x 100 cm. Stavka uključuje demontažu svih elemenata, uključivo i sveg pričvrsnog materijala i ograda.  Reprezentativne primjerke prema odabiru nadležnog konzervatora i/ili projektanta čuvati na gradilištu do izvedbe zamjenske stolarije, a ostatak se odvozi na deponij.  Stavka uključuje usitnjavanje ruševina, vertikalni i horizontalni transport,  utovar i odvoz na deponij. Izvesti pažljivo kako se ne bi oštetili dijelovi konstrukcije i susjedne plohe koji se ne ruše.</t>
  </si>
  <si>
    <t>Rušenje dimnjaka</t>
  </si>
  <si>
    <t>Demontaža dimnjaka sa svim elementima, uključivo i rušenje obloga kojima je obložen dimnjak. Stavka uključuje usitnjavanje ruševina, vertikalni i horizontalni transport,  utovar i odvoz na deponij. Izvesti pažljivo kako se ne bi oštetili dijelovi konstrukcije i susjedne plohe koji se ne ruše.</t>
  </si>
  <si>
    <t>Demontaža staklenog crijepa</t>
  </si>
  <si>
    <t>Uklanjanje hidroizolacije sa ravnog krova</t>
  </si>
  <si>
    <t xml:space="preserve">Razgradnja sloja estriha </t>
  </si>
  <si>
    <t>Razgradnja postojećih slojeva poda  kata do podne ploče</t>
  </si>
  <si>
    <t>Razgradnja postojećih slojeva poda katova iznad AB ploče. Slojevi koji se ruše iznad ploče su drvene gredice, između je šuta, na njima daske i završna podna obloga parket ili keramika. Stavka uključuje usitnjavanje ruševina, vertikalni i horizontalni transport te utovar i odvoz na deponij. Izvesti pažljivo kako se ne bi oštetili dijelovi konstrukcije i susjedne plohe koji se ne ruše.</t>
  </si>
  <si>
    <t>a) slojevi poda 1. kata</t>
  </si>
  <si>
    <t>b) slojevi poda 2. kata</t>
  </si>
  <si>
    <t>Razgradnje zidne keramike</t>
  </si>
  <si>
    <t>Razgradnja žbuke na postojećim zidovima</t>
  </si>
  <si>
    <t>b) popravak</t>
  </si>
  <si>
    <t>Demontaža čeličnog stubišta iz prostora kotlovnice.  Stavka uključuje demontažu svih elemenata, uključivo i sveg pričvrsnog materijala. Elemente stubišta potrebno popraviti što uključuje četkanje, brušenje, ponovna antikorozivna zaštita i bojanje, popravak ili zamjena oštećenih dijelova)  te ponovno montirati sa svim spojnim i pričvrsnim materijalom. Stubište sa 5 gazišta širine 25 cm i 6 visina 14,50 cm.   Stavka uključuje demontažu, popravak, odlaganje i štićenje do ponovne montaže te ponovnu montažu, zajedno sa svim potrebnim spojnim i pričvrsnim materijalom.</t>
  </si>
  <si>
    <t>Sve stavke uključuju izradu, dobavu i ugradnja vanjskih i unutarnjih bravarskih stavki u sistemima čeličnih profila s i bez prekida toplinskog mosta. 
Materijal čelika je u kvaliteti EN 10025-2:2007 ili jednakovrijedno, S235JR ili jednakovrijedno; toplo valjani proizvodi od konstrukcijskih čelika; EN 10346:2009 ili jednakovrijedno; čelični plosnati proizvodi s prevlakom nanesenom kontinuiranim vrućim uranjanjem.
Sastavni dio podloga za izradu ponude bravarskih stavki čine sheme iz projekta i troškovnički opisi, a sastavni dio podloga za izradu, dobavu i ugradnju samih stavki čine radionički nacrti izrađeni od strane izvođača te odgovarajući uzorci profila, okova i pribora ovjereni od strane glavnog projektanta. Radionički nacrti moraju sadržavati i detalje spojeva stavki vanjske bravarije na nosivu konstrukciju objekta i njezinu ovojnicu,. Prema potrebi, od strane statičara provjeriti dimenzije profila stavki i debljine stakla.
Izvođač radova je dužan priložiti dokumentaciju kojom dokazuje da primijenjeni sistemi s projektiranim staklom zadovoljavaju navedene uvjete. 
Tražena razina zaštite od buke iznosi Rw ≥ 33 (-1,-5) dB. 
Prema potrebi mjerenjem dokazati utjecaj korekturnih koeficijenata (C, Ctr) na prigušenje buke u ugrađenom stanju.
U cijenu stavke uključiti izradu, dobavu i ugradnju nosive čelične potkonstrukcije s maskom, namijenjene za ovješenje harmo stavki s gornje strane.
Smjer otvaranja otvarajućih elemenata označiti u skladu s HRN EN 12519. ili jednakovrijedno.
Izrada radioničke dokumentacije i svi potrebni proračuni u jediničnoj cijeni svih stavki.</t>
  </si>
  <si>
    <t xml:space="preserve">Potrebna dokumentacija koju će izvođač radova priložiti u cilju dokazivanja  kriterija jednakovrijednosti sistema i gotovih stavki određenih projektom i ovim troškovnikom (osim potrebnih karakteristika svakog sistema posebno):
-  Izjava o svojstvima, u skladu sa Zakonom o građevinskim proizvodima 
   (NN 76/13, 30/14 ) ili jednakovrijedno i klasifikacijskom normom HRN EN 14351-1 (prozori i vrata) ili jednakovrijedno
   i HRN EN 13830 (ovješena fasada) ili jednakovrijedno
-  Iskaz tolerancija mjera i oblika za profile, u skladu s
   HRN EN 12020-2:2001 ili jednakovrijedno
-  Dokaz o sigurnosti od ispadanja i izbijanja  stakla iz fasadnih i prozorskih   okvira, vertikalnih i kosih, u skladu s DIN EN 1999-1-1 (Eurocode 9 - fasade) ili jednakovrijedno i  smjernicama TRAV  (prozori). ili jednakovrijedno.
-  DoP ili jednakovrijedno i CE ili jednakovrijedno za vrata s panik okovom do visine 3000 mm.
-  EPD certifikat o održivosti i ugljičnom otisku (max. 1.6 kgCO2/kg Č) ili jednakovrijedno
-  Proračune koeficijenta prolaza topline profila Uf i ukupnog koeficijenta 
   prolaza topline Ucw, u skladu s EN ISO 10077-2 ili jednakovrijedno
-  Statički proračuni profila i stakla </t>
  </si>
  <si>
    <t xml:space="preserve">ČELIČNA VANJSKA VRATA </t>
  </si>
  <si>
    <t>Stavke uključuju izradu, dobavu i ugradnju ulaznih vrata u sistemu od čeličnih profila s prekidom toplinskog mosta i povišenim izolativnim svojstvima. Ugradbena dubina štoka i krila iznosi 60 mm, minimalna vidljiva širina dovratnika 65 mm. Krilo i dovratnik su poravnati u istoj ravnini. 
Prekid toplinskog mosta postiže se pomoću poliuretana pojačanog staklenim vlaknima.
Staklo je učvršćeno u okvir pomoću letvice s držačem s unutarnje strane. U vertikalnom presjeku težina stakla se prenosi na profil preko PVC držača koji ujedno ima funkciju izolatora. Prag je niski, poliuretanski, visine 20 mm, aluminijski, visine 9 mm, opcija - spuštajući prag.
Povišena toplinska izolativnost sistema se postiže na slijedeći način:
- izolatori su od poliuretana pojačanog staklenim vlaknima
- srednja brtva je četverokomorna.
- u prostoru oko obruba stakla stakla ugrađen je uložak od PE-pjene, s dobrim izolativnim svojstvima (λ=0.030 W/mK)
- unutarnja brtva stakla s produžetkom dodatno prekida toplinske tokove, tj. konvekciju u tom prostoru.
- vanjske brtve stakla su dvokomponentne
- spuštajući prag = potpuno brtvljenje s donje strane krila.
Maksimalna nosivost krila je do 230 kg, maksimalna visina krila do 3000 mm, debljina ispune 34-56 mm.</t>
  </si>
  <si>
    <t>KONTINUIRANA ČELIČNA FASADA - KROVNO OSTAKLJENJE</t>
  </si>
  <si>
    <t>2.2.</t>
  </si>
  <si>
    <t>2.1.</t>
  </si>
  <si>
    <t>Sistem u potpunosti ispunjava uvjete normi za ovješene fasadne konstrukcije EN 13830 ili jednakovrijedno, te TRLV smjernica ili jednakovrijedno za upotrebu staklenih ploča za zaštitu od pada.
Za potrebe odabira završne obrade nosivih profila i pokrovnih kapa potrebno je osigurati uzorak odgovarajućih dimenzija. Staklo na horizontalni profil nasjeda preko čeličnih držača stakla te PVC podloške, na dva mjesta. Broj držača stakla ovisi o masi stakla, a određuje se po principu:  do 75 kg, 2x1 ; do 75-150 kg, 2x2; do 150-300 kg, 2x3 držača. Za mase stakla iznad 300 kg potrebno je u profil zavariti držače stakla od čeličnog flaha.</t>
  </si>
  <si>
    <t>ČELIČNA VRATA I FIKSNE STIJENE INTERIJERA</t>
  </si>
  <si>
    <t>2.3.</t>
  </si>
  <si>
    <t>TIPOVI OSTAKLJENJA</t>
  </si>
  <si>
    <t>vanjskih vrata bez parapeta, sigurnosno izo staklo:
TIP A: 8 (kaljeno) - 16 Ar90% -  44.2LowE
Ostakljenje unutarnjih stavki bez parapeta, dvoslojno sigurnosno staklo: 
TIP B: 4-10-4 (kaljeno)
Krovno ostakljenje, sigurnosno staklo: 
TIP C: 10 (kaljeno) - 16 Ar - 66.2LowE
LowE sloj se nalazi na poz. 3 gledano izvana, TIP A i C.
Koeficijent prolaza topline IZO jedinice:    Ug ≤ 1.0 W/m²K
Solarni faktor (ukupni prolaz energije prema unutra):         g ≤ 55%
Letvica stakla (distancer) od PVC-a:   Ψ≤0.04 W/mK.
Tip stakla, boja, ton, emajl i ostali parametri prema projektnoj dokumentaciji, u skladu sa shemama.
Proračun debljine, izradu, obradu, i ugradnju stakla izvršiti u skladu s Tehničkim propisom za staklene konstrukcije (NN 53/17) ili jednakovrijedno. Debljine stakla prema potrebi provjeriti od strane ovlaštenog statičara. Kao osiguranje od pucanja kod kaljenog stakla obavezno predvidjeti Heat Soak Test (HST) ili jednakovrijedno, a kod laminiranog stakla obavezno pobrusiti rubove.
Izvođač radova je prije izrade obavezan osigurati uzorke s tipovima stakla odabranim od strane glavnog projektanta.</t>
  </si>
  <si>
    <t>POVRŠINSKA ZAŠTITA</t>
  </si>
  <si>
    <t>Boja je iz RAL palete, prema izboru projektanta, vidi opise stavki. Izvoditelj radova obavezan je prije početka površinske obrade profila podnijeti projektantima na uvid i odobrenje uzorke profila plastificiranih prema njihovom izboru.</t>
  </si>
  <si>
    <t>Boja je iz RAL palete, prema projektnoj dokumentaciji.
 Izvoditelj radova obavezan je prije početka površinske obrade profila podnijeti projektantima na uvid i odobrenje uzorke profila plastificiranih prema njihovom izboru.</t>
  </si>
  <si>
    <t xml:space="preserve">UGRADNJA </t>
  </si>
  <si>
    <t xml:space="preserve">Ugradnju izvesti u skladu s radioničkim nacrtima, izrađenim od strane izvođača radova, ovjerenim od strane glavnog projektanta, a koji u moraju obuhvaćati slijedeće elemente ugradnje prozora (RAL smjernice ili jednakovrijedno):
- ugradnju na pravilnu liniju izoterme kod koje nema kondenzata na 
  unutarnjoj stijenki stakla/profila 
- ugradnju na sistemski PVC bazni profil - nema toplinskog mosta
- paronepropusnost spoja sa zidom s unutarnje strane i 
  vodonepropusnost/paropropusnost s  vanjske
- odgovarajuću širinu bočne fuge između štoka i zida  
- ugradnju stakla s okvirom u skladu sa zahtjevima zaštite od buke </t>
  </si>
  <si>
    <t>Preklapanje svih izolacionih folija (najmanje 100 mm) izvesti na objektu uz mehaničko učvršćenje i potrebnu toplinsku izolaciju. Izvoditelj radova obavezan je ispravno izabrati sve izolacijske materijale na unutarnjoj i vanjskoj strani fasade i to biti u stanju dokazati.</t>
  </si>
  <si>
    <t>U slučaju RAL ugradnje s ekspanzijskim trakama, bočno i s gornje strane izvesti multifunkcionalnom eksp. trakom, iznutra dodatno zabrtviti akrilnom parnom branom. S donje strane izvana koristiti  vodonepropusnu butilnu foliju, iznutra foliju parnu branu.</t>
  </si>
  <si>
    <t>Vanjska jednokrilna zaokretna puna vrata prema shemi bravarske stavke V1</t>
  </si>
  <si>
    <t>Krilo vrata na poziciji ulaza u sprinkler stanicu mora biti podrezano 2 cm.</t>
  </si>
  <si>
    <t>U jediničnu cijenu stavke uključeno sve opisano i označeno na shemama.
Sve mjere kontrolirati u naravi.</t>
  </si>
  <si>
    <t>Vjetrobranska dvokrilna zaokretna ustakljena vrata prema shemi bravarske stavke V2</t>
  </si>
  <si>
    <t>Oznaka sheme: V1</t>
  </si>
  <si>
    <t>Oznaka sheme: V2</t>
  </si>
  <si>
    <t xml:space="preserve">a) građevinski otvor:165x257 cm
    svijetli otvor: 157x253 cm
</t>
  </si>
  <si>
    <t xml:space="preserve">Izrada, dobava i ugradnja vanjskih jednokrilnih zaokretnih punih vrata u sistemu čeličnih profila s prekidom toplinskog mosta i povišenim izolativnim svojstvima, ugradbene dubine 60 mm, kao 2.1 ili jednakovrijedno, u svemu prema shemi.
Krilo vrata sendvič konstrukcija s pocinčanim čeličnim limom.
Vrata sadrže standardan okov - cilindar bravu s kvakom, hidraulični zatvarač, min. 2 panta, prag bez barijere (niži od 20 mm), podni odbojnik. Koristiti profile s min. širinom u pogledu.
</t>
  </si>
  <si>
    <t>Unutarnja dvokrilna zaokretna ustakljena  vrata prema shemi bravarske stavke V2a</t>
  </si>
  <si>
    <t>Oznaka sheme: V2a</t>
  </si>
  <si>
    <t xml:space="preserve">a) građevinski otvor:150x265 cm
    svijetli otvor: 140x260 cm
</t>
  </si>
  <si>
    <t>Izrada, dobava i ugradnja unutarnjih dvokrilnih zaokretnih ustakljenih vrata u sistemu čeličnih profila s prekidom toplinskog mosta i povišenim izolativnim svojstvima, ugradbene dubine 60 mm, kao 2.1 ili jednakovrijedno, u svemu prema shemi.
Ostakljenje unutarnjih stavki bez parapeta, dvoslojno sigurnosno staklo: 
TIP B: 4-10-4 (kaljeno), distancer u tonu krila.
Vrata sadrže standardan okov - cilindar bravu s kvakom, zasun na pomoćnom krilu, min. 3 para panta, podni odbojnik 2x, prag bez barijere (niži od 20 mm). Koristiti profile s min. širinom u pogledu.</t>
  </si>
  <si>
    <t xml:space="preserve">Izrada, dobava i ugradnja vjetrobranskih dvokrilnih zaokretnih ustakljenih vrata u sistemu čeličnih profila s prekidom toplinskog mosta i povišenim izolativnim svojstvima, ugradbene dubine 60 mm, kao 2.1 ili jednakovrijedno, u svemu prema shemi.
Ostakljenje vanjskih vrata bez parapeta, sigurnosno izo staklo:
TIP A: 8 (kaljeno) - 16 Ar90% -  44.2LowE, distancer u tonu krila.
Vrata sadrže standardan okov - cilindar bravu s kvakom, integrirani hidraulični zatvarač, zasun na pomoćnom krilu, min. 3 para panta, podni odbojnik 2x, prag bez barijere (niži od 20 mm). Koristiti profile s min. širinom u pogledu. Mehanizam za automatsko otvaranje krila po vatrodojavi, uključeno u cijenu.
</t>
  </si>
  <si>
    <t>Oznaka sheme: V3</t>
  </si>
  <si>
    <t xml:space="preserve">a) građevinski otvor:200x297 cm
    svijetli otvor: 190x215+72 cm
</t>
  </si>
  <si>
    <t>Izrada, dobava i ugradnja vjetrobranskih dvokrilnih zaokretnih ustakljenih vrata s lučnim nadsvjetlom u sistemu čeličnih profila s prekidom toplinskog mosta i povišenim izolativnim svojstvima, ugradbene dubine 60 mm, kao 2.1 ili jednakovrijedno, u svemu prema shemi.
Luk saviti u skladu s preporučenim radijusima savijanja.
Ostakljenje vanjskih vrata bez parapeta, sigurnosno izo staklo:
TIP A: 8 (kaljeno) - 16 Ar90% -  44.2LowE, distancer u tonu krila.
Vrata sadrže standardan okov - cilindar bravu s kvakom, integrirani hidraulični zatvarač, zasun na pomoćnom krilu, min. 3 panta, podni odbojnik 2x, prag bez barijere (niži od 20 mm). Koristiti profile s min. širinom u pogledu. Mehanizam za automatsko otvaranje krila po vatrodojavi.</t>
  </si>
  <si>
    <t>Vjetrobranska dvokrilna zaokretna ustakljena  vrata s lučnim nadsvjetlom prema shemi bravarske stavke V3</t>
  </si>
  <si>
    <t>Vjetrobranska dvokrilna zaokretna ustakljena  vrata s lučnim nadsvjetlom prema shemi bravarske stavke V4</t>
  </si>
  <si>
    <t>Oznaka sheme: V4</t>
  </si>
  <si>
    <t xml:space="preserve">a) građevinski otvor:198x290 cm
    svijetli otvor: 190x210+70 cm
</t>
  </si>
  <si>
    <t>Unutarnja jednokrilna zaokretna ustakljena  vrata  prema shemi bravarske stavke V5</t>
  </si>
  <si>
    <t>Izrada, dobava i ugradnja unutarnjih čeličnih jednokrilnih zaokretnih ustakljenih vrata u sistemu č. profila bez prekida toplinskog mosta, ugradbene dubine maks. 50 mm kao 2.3 ili jednakovrijedno, u svemu prema shemi.
Ostakljenje unutarnjih stavki bez parapeta, dvoslojno sigurnosno staklo: 
TIP B: 4-10-4 (kaljeno), distancer u tonu krila.
Vrata sadrže cilindar bravu u min. 3 točke zabravljivanja, kvaku , integrirani hidraulični zatvarač, min. 3 panta, podni odbojnik, automatski spuštajući prag.</t>
  </si>
  <si>
    <t>Oznaka sheme: V5</t>
  </si>
  <si>
    <t xml:space="preserve">a) građevinski otvor:95x215 cm
    svijetli otvor: 85x210 cm
   smjer otvaranja: L
</t>
  </si>
  <si>
    <t xml:space="preserve">b) građevinski otvor:100x215 cm
    svijetli otvor: 90x210 cm
   smjer otvaranja: D
</t>
  </si>
  <si>
    <t>U jediničnu cijenu stavke uključiti sve eventualne slijepe profile.</t>
  </si>
  <si>
    <t>Postojeća unutarnja protupožarna jednokrilna zaokretna vrata prema shemi bravarske stavke V6</t>
  </si>
  <si>
    <t>Popravak postojećih vrata</t>
  </si>
  <si>
    <t>Oznaka sheme: V6</t>
  </si>
  <si>
    <t>Prilikom popravka nužno je ostvariti i/ili zadržati otpornost na požar EI2 60- C.</t>
  </si>
  <si>
    <t xml:space="preserve">a) građevinski otvor:76x208 cm
    svijetli otvor: 60x200 cm
   smjer otvaranja: L
</t>
  </si>
  <si>
    <t xml:space="preserve">b) građevinski otvor:108x209 cm
    svijetli otvor: 92x201 cm
   smjer otvaranja: L
</t>
  </si>
  <si>
    <t>Potrebni opšav, elemente ugradnje i sidrenja, obrade, spojni i pričvrsni materijal uključiti u cijenu.
Prije izrade potrebno od strane izvođača radova radioničke nacrte, odgovarajuće uzorke profila, okova i pribora, završne obrade ovjeriti od strane glavnog projektanta, sve uključeno u jediničnu cijenu stavke.</t>
  </si>
  <si>
    <t>Unutarnja protupožarna i protudimna jednokrilna zaokretna puna vrata s nadsvjetlom prema shemi bravarske stavke V7</t>
  </si>
  <si>
    <t>Oznaka sheme: V7</t>
  </si>
  <si>
    <t xml:space="preserve">a) građevinski otvor:106x290 cm
    svijetli otvor: 90x210+70 cm
   smjer otvaranja: L
</t>
  </si>
  <si>
    <t>Oznaka sheme: V8</t>
  </si>
  <si>
    <t xml:space="preserve">a) građevinski otvor:86x208 cm
    svijetli otvor: 70x200 cm
   smjer otvaranja: L
</t>
  </si>
  <si>
    <t xml:space="preserve">b) građevinski otvor:96x208 cm
    svijetli otvor: 80x200 cm
   smjer otvaranja: L
</t>
  </si>
  <si>
    <t xml:space="preserve">c) građevinski otvor:76x218 cm
    svijetli otvor: 70x210 cm
   smjer otvaranja: D
</t>
  </si>
  <si>
    <t xml:space="preserve">d) građevinski otvor:106x218 cm
    svijetli otvor: 90x210 cm
   smjer otvaranja: L
</t>
  </si>
  <si>
    <r>
      <t>EI</t>
    </r>
    <r>
      <rPr>
        <vertAlign val="subscript"/>
        <sz val="10"/>
        <rFont val="Calibri"/>
        <family val="2"/>
      </rPr>
      <t>2</t>
    </r>
    <r>
      <rPr>
        <sz val="10"/>
        <rFont val="Calibri"/>
        <family val="2"/>
      </rPr>
      <t>30-C-Sm</t>
    </r>
  </si>
  <si>
    <r>
      <t>EI</t>
    </r>
    <r>
      <rPr>
        <vertAlign val="subscript"/>
        <sz val="10"/>
        <rFont val="Calibri"/>
        <family val="2"/>
      </rPr>
      <t>2</t>
    </r>
    <r>
      <rPr>
        <sz val="10"/>
        <rFont val="Calibri"/>
        <family val="2"/>
      </rPr>
      <t>60-C</t>
    </r>
  </si>
  <si>
    <t xml:space="preserve">e) građevinski otvor:96x218 cm
    svijetli otvor: 80x210 cm
   smjer otvaranja: D
</t>
  </si>
  <si>
    <t xml:space="preserve">f) građevinski otvor:106x158 cm
    svijetli otvor: 90x150 cm
   smjer otvaranja: D
</t>
  </si>
  <si>
    <t>Unutarnja protupožarna i protudimna dvokrilna zaokretna ustakljena vrata s lučnim nadsvjetlom prema shemi bravarske stavke V9</t>
  </si>
  <si>
    <t>Oznaka sheme: V9</t>
  </si>
  <si>
    <t xml:space="preserve">a) građevinski otvor:198x290 cm
    svijetli otvor: 182x215+60 cm
</t>
  </si>
  <si>
    <t>Unutarnja protupožarna i protudimna jednokrilna zaokretna ustakljena vrata prema shemi bravarske stavke V10</t>
  </si>
  <si>
    <t>Oznaka sheme: V10</t>
  </si>
  <si>
    <t xml:space="preserve">a) građevinski otvor:94x206 cm
    svijetli otvor: 82x200 cm
    smjer otvaranja: L
</t>
  </si>
  <si>
    <t xml:space="preserve">b) građevinski otvor:102x206 cm
    svijetli otvor: 90x200 cm
    smjer otvaranja: L- kom 4 ; D-kom 1
</t>
  </si>
  <si>
    <t xml:space="preserve">c) građevinski otvor:102x216 cm
    svijetli otvor: 90x210 cm
    smjer otvaranja: L- kom 1 ; D-kom 2
</t>
  </si>
  <si>
    <t>Unutarnja protupožarna i protudimna jednokrilna zaokretna ustakljena vrata s nadsvjetlom prema shemi bravarske stavke V11</t>
  </si>
  <si>
    <t>Oznaka sheme: V11</t>
  </si>
  <si>
    <t xml:space="preserve">a) građevinski otvor:125x290 cm
    svijetli otvor:100x210+65 cm
    smjer otvaranja: L
</t>
  </si>
  <si>
    <t>Unutarnja protupožarna i protudimna jednokrilna zaokretna ustakljena vrata s nadsvjetlom prema shemi bravarske stavke V12</t>
  </si>
  <si>
    <t>Oznaka sheme: V12</t>
  </si>
  <si>
    <t xml:space="preserve">a) građevinski otvor:122x300 cm
    svijetli otvor:100x210+75 cm
    smjer otvaranja: D
</t>
  </si>
  <si>
    <t xml:space="preserve">b) građevinski otvor:126x310 cm
    svijetli otvor:100x210+85 cm
    smjer otvaranja: D
</t>
  </si>
  <si>
    <t>Unutarnja protupožarna i protudimna dvokrilna zaokretna ustakljena vrata prema shemi bravarske stavke V13</t>
  </si>
  <si>
    <t>Izrada, dobava i ugradnja unutarnjih dvokrilnih zaokretnih protupožarnih i protudimnih ostakljenih vrata, klasa EI2 30-C-Sm, u sistemu čeličnih profila s prekidom toplinskog mosta, ugradbene dubine 60 mm, kao 2.1 ili jednakovrijedno, u svemu prema shemi.  Izvodi se slijepi dovratnik prema shemi iz čeličnih profila radi formiranja bravarskog otvora širine 130 cm za ugradnju dovratnika.
Ostakljenje EI 30, d=16 mm ili sl., jednostruko višeslojno u skladu s Certifikatom o stalnosti svojstava ili jednakovrijedno. Krilo i dovratnik su u istoj ravnini.
Vrata sadrže standardan okov, cilindar brava, kvaka, integrirani hidraulički zatvarač HRN EN 1154 ili jednakovrijedno, min. 3panta, automatski prag bez barijere. Vrata su stalno otvorena, spojena na elektromagnete i vatrodojavu, po čijem se signalu u slučaju požara automatski zatvaraju i zabravljuju.</t>
  </si>
  <si>
    <t>Oznaka sheme: V13</t>
  </si>
  <si>
    <t xml:space="preserve">a) građevinski otvor:140x220 cm
    svijetli otvor:120x215 cm
</t>
  </si>
  <si>
    <t xml:space="preserve">b) građevinski otvor:140x225 cm
    svijetli otvor:120x220 cm
</t>
  </si>
  <si>
    <t>Unutarnja protupožarna i protudimna dvokrilna zaokretna ustakljena vrata prema shemi bravarske stavke V14</t>
  </si>
  <si>
    <t>Oznaka sheme: V14</t>
  </si>
  <si>
    <t xml:space="preserve">a) građevinski otvor:150x265 cm
    svijetli otvor:140x260 cm
</t>
  </si>
  <si>
    <t xml:space="preserve">b) građevinski otvor:140x265 cm
    svijetli otvor:130x250 cm
</t>
  </si>
  <si>
    <t xml:space="preserve">c) građevinski otvor:140x215cm
    svijetli otvor:130x210 cm
</t>
  </si>
  <si>
    <t>Unutarnja protupožarna i protudimna dvokrilna zaokretna ustakljena vrata s nadsvjetlom prema shemi bravarske stavke V15</t>
  </si>
  <si>
    <t>Oznaka sheme: V15</t>
  </si>
  <si>
    <t xml:space="preserve">a) građevinski otvor:160x290 cm
    svijetli otvor:150x210+70 cm
</t>
  </si>
  <si>
    <t>Ostakljena stijena sa vratima  prema shemi bravarske stavke V16</t>
  </si>
  <si>
    <t>Oznaka sheme: V16</t>
  </si>
  <si>
    <t xml:space="preserve">a) građevinski otvor stijene: 775x290 cm
</t>
  </si>
  <si>
    <t>Obračun po komadu stijene i vrata.</t>
  </si>
  <si>
    <t>Ostakljena stijena sa vratima  prema shemi bravarske stavke V17</t>
  </si>
  <si>
    <t>Oznaka sheme: V17</t>
  </si>
  <si>
    <t xml:space="preserve">a) građevinski otvor stijene: 455x290 cm
</t>
  </si>
  <si>
    <t>Ostakljena stijena sa vratima  prema shemi bravarske stavke V18</t>
  </si>
  <si>
    <t>Oznaka sheme: V18</t>
  </si>
  <si>
    <t xml:space="preserve">a) građevinski otvor stijene: 685x290 cm
</t>
  </si>
  <si>
    <t>Fiksna ostakljena stijena prema shemi bravarske stavke V19</t>
  </si>
  <si>
    <t>Izrada, dobava i ugradnja čelične interijerske ostakljene stijene u sistemu č. profila bez prekida toplinskog mosta, ugradbene dubine maks. 50 mm kao 2.3 ili jednakovrijedno, u svemu prema shemi.
Ostakljenje unutarnjih stavki bez parapeta, dvoslojno sigurnosno staklo: 
TIP B: 4-10-4 (kaljeno), distancer u tonu krila.</t>
  </si>
  <si>
    <t>Oznaka sheme: V19</t>
  </si>
  <si>
    <t>Obračun po komadu stijene.</t>
  </si>
  <si>
    <t>a) građevinski otvor: 103x290 cm</t>
  </si>
  <si>
    <t>a) građevinski otvor: (365+160)+(365+315) cm</t>
  </si>
  <si>
    <t>Fiksna dvodijelna ostakljena krovna stijena prema shemi bravarske stavke K2</t>
  </si>
  <si>
    <t>Oznaka sheme: K2</t>
  </si>
  <si>
    <t>a) građevinski otvor: 245x245 cm</t>
  </si>
  <si>
    <t>U stavku uključen i okov za fiksiranje/zaključavanje rešetki unutar fiksnih profila.</t>
  </si>
  <si>
    <t>OPIS TIPOVA STAVKI-UVODNE NAPOMENE</t>
  </si>
  <si>
    <t>PROTUDIMNE KARAKTERISTIKE VRATA, Sm odnosno S200</t>
  </si>
  <si>
    <t>Vrata moraju ograničiti stupanj prolaznosti dima kroz vrata u slijedećim iznosima:
- jednokrilna vrata: ≤ 20m3/h
- dvokrilna vrata:    ≤ 30m3/h
Vrata moraju biti klasificirana i ispitana u skladu sa slijedećim normama:</t>
  </si>
  <si>
    <t>Dvokrilna vrata sadrže integrirani redosljednik zatvaranja.</t>
  </si>
  <si>
    <t>Izrada, dobava i ugradnja protupožarnih vrata i fiksnih stijena, klasa EI30, u sistemu čeličnih profila s prekidom toplinskog mosta, ugradbene dubine 60 mm. Profil ima vidljivu širinu dovratnika 25-70 mm, Krilo je poravnato sa štokom u zatvorenom položaju, fuga 5 mm.</t>
  </si>
  <si>
    <t xml:space="preserve"> OSTAKLJENJE</t>
  </si>
  <si>
    <t xml:space="preserve">  </t>
  </si>
  <si>
    <t xml:space="preserve">Ugradnju vanjskih stavki izvesti u skladu s radioničkim nacrtima, izrađenim od strane izvođača radova, ovjerenim od strane glavnog projektanta, a koji u moraju obuhvaćati slijedeće elemente ugradnje (RAL smjernice):
- ugradnju stavke na pravilnu liniju izoterme kod koje nema kondenzata na 
  unutarnjoj stijenki stakla/profila 
- ugradnju stavke na sistemski PVC bazni profil - nema toplinskog mosta
- paronepropusnost spoja sa zidom s unutarnje strane i 
  vodonepropusnost/paropropusnost s  vanjske
- odgovarajuću širinu bočne fuge između štoka i zida  
- ugradnju stakla s okvirom u skladu sa zahtjevima zaštite od buke </t>
  </si>
  <si>
    <t xml:space="preserve">U cijeni stavke uključiti komplet sav potreban rad i materijal prema opisu u troškovniku, kao i sve dodatne radove i materijale potrebne da se izradi kompletna stavka kao oblikovna i funkcionalna cjelina. Svi spojni limovi, opšavi, toplinske izolacije, hidroizolacije i parne brane koje se prema pravilima struke ugrađuju, sastavni su dio ove stavke. </t>
  </si>
  <si>
    <t>Izrada, dobava i ugradnja stavki s otpornošću na požar i dim u sistemu čeličnih profila s prekidom toplinskog mosta. Materijal čelika je u kvaliteti  EN 10025-2:2007 ili jednakovrijedno, S235JR; toplo valjani proizvodi od konstrukcijskih čelika;  EN 10346:2009 ili jednakovrijedno; čelični plosnati proizvodi s prevlakom nanesenom kontinuiranim vrućim uranjanjem. 
Sastavni dio podloga za izradu, dobavu i ugradnju protupožarnih stavki čine sheme iz projekta te izvedbeni i radionički nacrti, izrađeni od strane izvođača radova, ovjereni od strane glavnog projektanta. Radionički nacrti moraju sadržavati i detalje spojeva stavki vanjske bravarije na nosivu konstrukciju objekta i njezinu ovojnicu. Prema potrebi, od strane statičara provjeriti dimenzije profila stavki i debljine stakla.
Opšave i izolacijske radove na priključcima stavki na nosivu konstrukciju uključiti u troškove.
Stavke u svemu izraditi i ugraditi u skladu s važećim Pravilnikom o otpornosti na požar i drugim zahtjevima koje građevine moraju zadovoljiti u slučaju požara, NN 29/13, 87/15 ili jednakovrijedno te tehničkom dokumentacijom proizvođača sistema i proizvođača stavki. 
Smjer otvaranja mora biti u skladu s  EN 12519 ili jednakovrijedno.</t>
  </si>
  <si>
    <t xml:space="preserve">Potrebna dokumentacija koju će izvođač radova priložiti u cilju dokazivanja svojstava dijelova sistema i gotovih stavki određenih projektom i ovim troškovnikom (osim potrebnih karakteristika svakog sistema posebno):
-  Izjava o svojstvima, u skladu sa Zakonom o građevinskim proizvodima 
   (NN 76/13, 30/14) ili jednakovrijedno i klasifikacijskom normom EN 14351-2 (vanjski el.) ili jednakovrijedno i EN 4351-2 (unutarnji el.)  ili jednakovrijedno
-  Izvještaj o razredbi otpornosti na požar fiksnih elemenata, EN 13501-2  ili jednakovrijedno, EN 1364-1(nenosivi zid)  ili jednakovrijedno, EN 1364-3 (ovješena fasada)  ili jednakovrijedno
- Certifikat o stalnosti svojstava otvarajućih elemenata, EN 16034  ili jednakovrijedno
- prema potrebi:
  Proračune koeficijenta prolaza topline profila Uf i ukupnog koeficijenta 
  prolaza topline Ucw, u skladu s EN ISO 10077-2  ili jednakovrijedno
  Statički proračuni profila i stakla </t>
  </si>
  <si>
    <t>HRN EN 13501-2:2010  ili jednakovrijedno - Razredba građevnih proizvoda i građevnih elemenata 
prema ponašanju u požaru -- 2. dio: Razredba prema                                     rezultatima ispitivanja otpornosti na požar, isključujući  ventilaciju (EN 13501-2:2007+A1:2009)  ili jednakovrijedno</t>
  </si>
  <si>
    <t>HRN EN 1634-1:2008  ili jednakovrijedno - Ispitivanje otpornosti na požar i kontrolu dima vrata,  roleta i prozora koji se mogu otvarati i elemenata  zgrade --1.dio: ispitivanje otpornosti na požar vrata, elemenata za zatvaranje i  prozora koji se mogu otvarati (EN 1634-                                  1:2008)  ili jednakovrijedno</t>
  </si>
  <si>
    <t>HRN EN 1634-3:2008  ili jednakovrijedno – Ispitivanje otpornosti vrata i sklopova za zatvaranje otvora na požar -- 3. dio: Protudimna vrata i zatvarači za otvore (EN 1634-3:2004+AC:2006)  ili jednakovrijedno« -  klasa Sm (pri 200ºC)</t>
  </si>
  <si>
    <t>HRN EN 14600:2008  ili jednakovrijedno – Vrata i otvarajući prozori s otpornošću na požar i/ili   kontrolom propusnosti dima -- Zahtjevi i razredba (EN 14600:2005  ili jednakovrijedno) - klasa C5 (200000 ciklusa samozatvaranja)</t>
  </si>
  <si>
    <t>Vrata obavezno sadrže spuštajuću brtvu s donje strane krila, koja se zatvaranjem krila automatski spusti i zabrtvi prostor između krila i praga, ostale brtve od teško zapaljivog materijala. 
Maksimalne dimenzije krila se kreću u granicama ca 1400 mm x 3000 mm, tj. u skladu s uvjetima direktne primjene propisanim Izvještajem o razredbi.
Moguća izvedba protuprovalnosti do klase RC 2 (HRN EN 1670  ili jednakovrijedno), te ugradnja panik okova (HRN EN 1125  ili jednakovrijedno i HRN EN 179  ili jednakovrijedno).</t>
  </si>
  <si>
    <t>Klasifikacija prema HRN EN 13501-2  ili jednakovrijedno, obuhvaća zaštitu od plamena i prolaza topline u roku od min. 30 min. te sposobnost samozatvaranja. Vrata mogu biti puna ili ostakljena, sve u skladu s važećom certifikacijskom dokumentacijom.
Profili ove serije su čelični profili s prekinutim toplinskim mostom. Prekid toplinskog mosta osiguran je poliamidnim izolatorom, koji dijeli profil na unutarnji i vanjski pojas.</t>
  </si>
  <si>
    <t xml:space="preserve">U vanjski i unutarnji pojas profila se ugrađuju ulošci na bazi gipsa, odgovarajuće debljine koji ispunjavaju unutrašnjost profila i ometaju prolaz topline. Protupožarno jednostruko staklo je višeslojno, u klasi EI30. U prostor između stakla i profila ugrađuje se ekspandirajući laminat koji u slučaju požara nabubri i zabrtvi taj dio konstrukcije. Brtvljenje između krila i štoka osigurano je pomoću 2 protupožarne trostrane brtve u klasi negorivosti, u skladu s HRN EN 13501-1  ili jednakovrijedno. Vrata visine krila iznad 2500 mm sadrže tzv. bimetalnu zaporku, koja služi za dodatno zabravljivanje krila u slučaju požara.
Vrata sadrže hidraulički zatvarač, HRN EN 1154  ili jednakovrijedno.
U seriju mora biti moguća ugradnja različitih vrsta antipanik okova (HRN EN 1125  ili jednakovrijedno i 1179  ili jednakovrijedno), elektro-brave, kao i automatskog upravljanja. </t>
  </si>
  <si>
    <t>Potrebne karakteristike protupožarnog sistema klase EI2 30-C-Sm:
- tražena vatrootpornost, 30 min, HRN EN 13501  ili jednakovrijedno:   
- max. dim. krila:           1400x3000 mm (230 kg)
- dimopropusnost:          ≤ 20 m3/h (jednokrilna) / 30 (dvokrilna)
- preporučena visina stijene sa vratima i nadsvjetlom:  4000 mm
- debljina protupožarnog stakla /panela do 60 mm.    
- materijal za brtvljenje,  HRN EN 13501-1  ili jednakovrijedno, B1  
- mehanička trajnost,     HRN EN 14600  ili jednakovrijedno (HRN EN 1191  ili jednakovrijedno):  klasa 5 (200000 ciklusa)</t>
  </si>
  <si>
    <r>
      <rPr>
        <b/>
        <sz val="10"/>
        <rFont val="Calibri"/>
        <family val="2"/>
        <scheme val="minor"/>
      </rPr>
      <t xml:space="preserve">2.1.1. </t>
    </r>
    <r>
      <rPr>
        <sz val="10"/>
        <rFont val="Calibri"/>
        <family val="2"/>
        <scheme val="minor"/>
      </rPr>
      <t>PANIK OKOV na evakuacijskim vratima, puna panika, prema HRN EN 1125    ili jednakovrijedno:
"B" funkcija - s vanjske strane kvaka, s unutarnje panik letva; vrata su prohodna u oba smjera dok su otključana, zaključana su prohodna samo u smjeru evakuacije.
"E" funkcija - s vanjske strane fiksni rukohvat, s unutarnje panik letva. Izvana prema unutra moguć prolaz samo s ključem. 
Djelomična panika, HRN EN 179   ili jednakovrijedno, za poznate korisnike - "B" i "E" funkcije, umjesto panik letve s unutarnje strane, tj. u smjeru evakuacije kvaka.</t>
    </r>
  </si>
  <si>
    <t>Izrada, dobava i ugradnja protupožarnih vrata i fiksnih stijena, klasa EI 60, u sistemu čeličnih profila s prekidom toplinskog mosta, ugradbene dubine 70 mm. Profil ima vidljivu širinu dovratnika 25-70 mm, Krilo je poravnato sa štokom u zatvorenom položaju, fuga 4-7 mm.
Klasifikacija prema EN 16034   ili jednakovrijedno (vrata), obuhvaća zaštitu od plamena i prolaza topline u roku od min. 60 min., dimonepropusnost EN 1634-3   ili jednakovrijedno te sposobnost samozatvaranja prema EN 1154   ili jednakovrijedno. Vrata mogu biti puna ili ostakljena, sve u skladu s važećom certifikacijskom dokumentacijom.
Klasifikacija prema EN 13501-2   ili jednakovrijedno (fiksne stijene) i EN 1364-1   ili jednakovrijedno obuhvaća zaštitu od plamena i prolaza topline u roku od min. 60 min
Profili ove serije su čelični profili s prekinutim toplinskim mostom. Prekid toplinskog mosta osiguran je poliamidnim izolatorom, koji dijeli profil na unutarnji i vanjski pojas. Unutrašnjost profila ispunjena je kompaktnom protupožarnom keramičkom masom. Protupožarno jednostruko staklo je višeslojno, u klasi EI60. U prostor između stakla i profila ugrađuje se ekspandirajući laminat koji u slučaju požara nabubri i zabrtvi taj dio konstrukcije. Brtvljenje između krila i štoka osigurano je pomoću 2 protupožarne trostrane brtve u klasi negorivosti, u skladu s HRN EN 13501-1   ili jednakovrijedno. Vrata visine krila iznad 2500 mm sadrže tzv. bimetalnu zaporku, koja služi za dodatno zabravljivanje krila u slučaju požara.
U seriju mora biti moguća ugradnja različitih vrsta antipanik okova (HRN EN 1125   ili jednakovrijedno i 1179   ili jednakovrijedno), elektro-brave, automatskog upravljanja, hidrauličnog zatvarača prema HRN EN 1154:2008   ili jednakovrijedno, sistemskog redosljednika zatvaranja kod dvokrilnih vrata i sl.</t>
  </si>
  <si>
    <t>Potrebne karakteristike protupožarnog sistema klasa EI 60-C-Sm  :
- tražena vatrootpornost 60/90 min, EN 16034/EN 1634-3   ili jednakovrijedno:
- dimopropusnost:          ≤ 20 m3/h (jednokrilna) / 30 (dvokrilna)
- debljina protupožarnog stakla do 54 mm / panela 49 mm.
- max. atestirane dimenzije jednokrilna vrata 1400x2500 mm,
  dvokrilna 2600x2500 mm, fiksne stijene do visine 4000 mm, s hor. prečkom
- max. masa krila s tri panta do 350 kg
- materijal za brtvljenje     HRN EN 13501-1   ili jednakovrijedno, B1
- mehanička trajnost,       HRN EN 14600   ili jednakovrijedno (HRN EN 1191   ili jednakovrijedno)  klasa 5 (200000 ciklusa)</t>
  </si>
  <si>
    <t xml:space="preserve">Protupožarno staklo unutarnje te za ugradnju u izo paket, višeslojno, u skladu s Izvještajem o razredbi otpornosti na požar (fiksni elementi, EN 13501-2   ili jednakovrijedno) te Certifikatom o stalnosti svojstava (otvarajući elementi, EN 16034   ili jednakovrijedno), važećim u RH.
</t>
  </si>
  <si>
    <t>Čelični profili moraju biti isporučeni vruće cinčani (EN 13046   ili jednakovrijedno, max. debljina sloja 5-12µm ili maks. 100g/m2), završna obrada prema potvrdi projektanta (plastifikacija po RAL-u, bojanje, lakiranje...) u skladu s EN 12944  ili jednakovrijedno za čelične konstrukcije.</t>
  </si>
  <si>
    <t xml:space="preserve">Ugradnju protupožarnih stavki izvesti prema smjernicama dobavljača sistema (kataloška rješenja), u skladu s važećim normama i propisima u RH (HRN EN 13501-1 ili jednakovrijedno,2, Pravilnik o otpornosti na požar i drugim zahtjevima koje građevine moraju zadovoljiti u slučaju požara, NN 29/13, 87/15  ili jednakovrijedno, i dr.); radioničkom dokumentacijom izrađenom od strane izvođača i odobrenom od strane glavnog projektanta.
Koristiti PU pjenu protupožarne klase B1 (HRN EN 13501-1   ili jednakovrijedno - teško zapaljivo), silikone klase B2 (normalno zapaljivo), mineralnu vunu klase A (nezapaljivo, točka taljenja 1000 st.c). Kao slijepe okvire koristiti čelične cijevi ili profile min. debljine stijenke 2 mm; za opšave čel. ili aluminijske limove debljine 1-3 mm. </t>
  </si>
  <si>
    <t>Postojeća stolarija- obnova</t>
  </si>
  <si>
    <t>Vanjska jednostruka dvokrilna zaokretna usklađena ustakljena vrata s  otklopnim nadsvjetlima prema stolarskoj shemi V2</t>
  </si>
  <si>
    <t xml:space="preserve">Pregled i obnova vanjskih jednostrukih dvokrilnih zaokretnih usklađenih ustakljenih vrata s  otklopnim nadsvjetlima. Krila i dovratnik iz crnogorice. </t>
  </si>
  <si>
    <t>Završna obrada: krila i dovratnik: nalič smeđi ton</t>
  </si>
  <si>
    <t>Ostakljenje: krila i nadsvjetla- jednostruko float staklo 6 mm.</t>
  </si>
  <si>
    <t>a) građevinski otvor: 157x252 cm
     svijetli otvor: 156x213+26</t>
  </si>
  <si>
    <t>Okov: pet pari spojnica, jedna kvaka +brava, dvije olive</t>
  </si>
  <si>
    <t>Vanjska jednostruka dvokrilna zaokretna usklađena ustakljena vrata s  otklopnim nadsvjetlima prema stolarskoj shemi V2a</t>
  </si>
  <si>
    <t>Stavka uključuje skidanje naliča, popravak, zamjena dotrajalih dijelova istovjetnim, ličenje mat lakom; zamjenu postojećeg ostakljenja LOW-E izo staklom 6-16-4, ispuna argon, sa distancerom u tonu krila, ugradnju novih brtvi na vratna krila ugradnja novog okova  te izvedba limene okapnice na krilima uz prag u tonu stolarije.
Stavka uključuje ugradnju automatske pumpe za zatvaranje.</t>
  </si>
  <si>
    <t>a) građevinski otvor: 130x260 cm
     svijetli otvor: 129x213+26 cm</t>
  </si>
  <si>
    <t>Vanjska jednostruka dvokrilna zaokretna usklađena ustakljena vrata s  kovanom rešetkom prema stolarskoj shemi V3</t>
  </si>
  <si>
    <t>Završna obrada: krila i dovratnik: nalič smeđi ton; okov i rešetka- crno bojani.</t>
  </si>
  <si>
    <t>Okov: tri para spojnica, jedna kvaka +brava</t>
  </si>
  <si>
    <t>Stavka uključuje skidanje naliča, popravak, zamjena dotrajalih dijelova istovjetnim, ličenje mat lakom u tonu po izboru projektanta, uključivo i okov i rešetke; zamjenu postojećeg ostakljenja LOW-E izo staklom 6-16-4, ispuna argon, distancer u tonu krila;  ugradnju novih brtvi na vratna krila i ugradnju električne panik brave i mehanizma za otvaranje oba krila po vatrodojavi te automatske pumpe za zatvaranje.</t>
  </si>
  <si>
    <t>a) građevinski otvor: 126x251 cm
     svijetli otvor: 120x250 cm</t>
  </si>
  <si>
    <t xml:space="preserve">Završna obrada: 
unutarnja krila i dovratnik- prozirni lak
vanjska krila i dovratnik- crnogorica
</t>
  </si>
  <si>
    <t>Okov: 2xtri  spojnice, 2x kvaka +brava, tenjice na nadsvjetlima</t>
  </si>
  <si>
    <t>a) građevinski otvor: 125x355 cm
     svijetli otvor: 105x275+55 cm
     smjer otvaranja: D</t>
  </si>
  <si>
    <t>Nova stolarija</t>
  </si>
  <si>
    <r>
      <t>Stavka uključuje skidanje naliča, popravak, zamjena dotrajalih dijelova istovjetnim, ličenje mat lakom, zamjenu postojećeg ostakljenja LOW-E izo staklom 6-16-4, ispuna argon, sa distancerom u tonu krila, ugradnju novih brtvi na vratna krila, ugradnju novog okova</t>
    </r>
    <r>
      <rPr>
        <sz val="10"/>
        <color rgb="FFFF0000"/>
        <rFont val="Calibri"/>
        <family val="2"/>
        <scheme val="minor"/>
      </rPr>
      <t xml:space="preserve"> </t>
    </r>
    <r>
      <rPr>
        <sz val="10"/>
        <rFont val="Calibri"/>
        <family val="2"/>
        <scheme val="minor"/>
      </rPr>
      <t xml:space="preserve"> te izvedbu limene okapnice na krilima uz prag u tonu stolarije.
Stavka uključuje ugradnju električne panik brave i mehanizma za otvaranje oba krila po vatrodojavi te automatske pumpe za zatvaranje.</t>
    </r>
  </si>
  <si>
    <t>Pregled i obnova unutarnjih jednostrukih dvokrilnih zaokretnih punih usklađenih vrata s usklađenim dovratnikom. Krila i dovratnik iz crnogorice.</t>
  </si>
  <si>
    <t xml:space="preserve">Završna obrada: krila i dovratnik- nalič sivi ton
</t>
  </si>
  <si>
    <t>Okov: tri para spojnica, jedna kvaka+brava</t>
  </si>
  <si>
    <t>Krila su demontirana, potrebna je ponovna montaža, skidanje naliča, popravak, zamjena dotrajalih dijelova istovjetnim, ličenje mat lakom,
ugradnja nove kvake i brave.</t>
  </si>
  <si>
    <t>Stavka uključuje sve potrebne pripremne radnje prije završnog sloja-uklanjanje površinskih nečistoća nakon skidanja boje, brušenje, učvršćivanje spojeva, zatvaranje pukotina i oštećenja drva kitanjem i obradom prema potrebi.</t>
  </si>
  <si>
    <t>Unutarnja jednostruka dvokrilna zaokretna puna usklađena vrata s usklađenim dovratnikom prema stolarskoj shemi V10A</t>
  </si>
  <si>
    <t>Oznaka sheme: V10A</t>
  </si>
  <si>
    <t xml:space="preserve">a) građevinski otvor: 141x255 cm
     svijetli otvor: 135x250cm
    </t>
  </si>
  <si>
    <t>Izrada, dobava i doprema unutarnjih jednostrukih jednokrilnih punih vrata s futer dovratnikom.</t>
  </si>
  <si>
    <t>Stavka uključuje dvije skrivene spojnice, kvaku i bravu te podni odbojnik.</t>
  </si>
  <si>
    <t>Obračun po komadu</t>
  </si>
  <si>
    <t>a) građevinski otvor: 100x215 cm
     svijetli otvor 90x210 cm
     smjer otvaranja: L</t>
  </si>
  <si>
    <t>b) građevinski otvor: 100x210 cm
     svijetli otvor 90x205 cm
     smjer otvaranja: L</t>
  </si>
  <si>
    <t>c) građevinski otvor: 100x205 cm
     svijetli otvor 90x200 cm
     smjer otvaranja: L</t>
  </si>
  <si>
    <t>Unutarnja jednostruka jednokrilna zaokretna puna vrata s futer dovratnikom prema stolarskoj shemi V12</t>
  </si>
  <si>
    <t>Izrada, dobava i doprema unutarnjih jednostrukih jednokrilnih punih vrata s nadsvjetlom i futer dovratnikom.</t>
  </si>
  <si>
    <t>Ostakljenje: lamelirano zvučno izolirajuće staklo 88.2</t>
  </si>
  <si>
    <t>Vratno krilo na ulazu u sanitarije na katu mora bit podrezano 2 cm.</t>
  </si>
  <si>
    <t>a) građevinski otvor: 100x295 cm ( u zidanom zidu 16 cm)
     svijetli otvor 90x210+75 cm
     smjer otvaranja: D</t>
  </si>
  <si>
    <t>b) građevinski otvor: 100x295 cm ( u zidanom zidu 30 cm)
     svijetli otvor 90x210+75 cm
     smjer otvaranja: D</t>
  </si>
  <si>
    <t>c) građevinski otvor: 100x265 cm ( u zidanom zidu 17 cm)
     svijetli otvor 90x205+50 cm
     smjer otvaranja: L</t>
  </si>
  <si>
    <t>d) građevinski otvor: 90x290 cm ( u GK zidu 15 cm)
     svijetli otvor 80x210+70 cm
     smjer otvaranja: L - 4 kom, D-2 kom</t>
  </si>
  <si>
    <t>Unutarnja jednostruka jednokrilna zaokretna puna vrata sa skrivenim dovratnikom prema stolarskoj shemi V14</t>
  </si>
  <si>
    <t>Izrada, dobava i doprema unutarnjih jednostrukih jednokrilnih zaokretnih vrata sa skrivenim dovratnikom.</t>
  </si>
  <si>
    <t>Krilo izrađeno od MDF, 40 mm, a dovratnik od aluminijskih profila.</t>
  </si>
  <si>
    <t>Završna obrada: lakirano mat RAL 9016.</t>
  </si>
  <si>
    <t>Vrata se ugrađuju prije žbukanja i/ili postavljanja GK ploča.</t>
  </si>
  <si>
    <t>a) građevinski otvor: 72x216 cm ( u zidanom zidu 16 cm)
     svijetli otvor 60x210 cm
     smjer otvaranja: L</t>
  </si>
  <si>
    <t>b) građevinski otvor: 102x216 cm ( u GK zidu 15 cm)
     svijetli otvor 90x210  cm
     smjer otvaranja: D - 1 kom, L - 1 kom</t>
  </si>
  <si>
    <t xml:space="preserve">d) građevinski otvor: 112x216 cm ( u zidanom zidu 21 cm)
     svijetli otvor 100x210 cm
     smjer otvaranja: L </t>
  </si>
  <si>
    <t>Krila i dovratnik izrađeni od MDF, 40 mm.</t>
  </si>
  <si>
    <t>Krila i dovratnik  izrađeni od MDF, 40 mm.</t>
  </si>
  <si>
    <t>Unutarnja jednostruka jednokrilna zaokretna puna vrata s nadsvjetlom i skrivenim dovratnikom prema stolarskoj shemi V15</t>
  </si>
  <si>
    <t>Izrada, dobava i doprema unutarnjih jednostrukih jednokrilnih zaokretnih vrata s nadsvjetlom i  skrivenim dovratnikom.</t>
  </si>
  <si>
    <t>Ostakljenje: kaljeno staklo 6 mm.</t>
  </si>
  <si>
    <t>Krilo svih vrata mora biti podrezano 2 cm.</t>
  </si>
  <si>
    <t>a) građevinski otvor: 102x315 cm
     svijetli otvor 90x205+105 cm
     smjer otvaranja: D</t>
  </si>
  <si>
    <t>b) građevinski otvor: 72x305 cm
     svijetli otvor : 60x205+95 cm
     smjer otvaranja: D - 1 kom, L - 1 kom</t>
  </si>
  <si>
    <t>c) građevinski otvor: 72x250 cm 
     svijetli otvor 60x205+40 cm
     smjer otvaranja: D</t>
  </si>
  <si>
    <t>Unutarnja jednostruka jednokrilna klizna puna vrata sa skrivenim dovratnikom prema stolarskoj shemi V16</t>
  </si>
  <si>
    <t>Izrada, dobava i doprema unutarnjih jednostrukih jednokrilnih kliznih vrata sa skrivenim dovratnikom unutar zida.</t>
  </si>
  <si>
    <t>Krilo izrađeno od MDF ploče 40 mm, a dovratnik i vodilice od aluminijskih profila.</t>
  </si>
  <si>
    <t>Stavka uključuje skrivene vodilice, usadnu kvaku i bravu.</t>
  </si>
  <si>
    <t>Vrata se ugrađuju u koordinaciji sa izvođačem GK radova.</t>
  </si>
  <si>
    <t>c) građevinski otvor: 102x216 cm ( u zidanom zidu 60 cm)
     svijetli otvor: 90x210 cm
     smjer otvaranja: L</t>
  </si>
  <si>
    <t>Unutarnja jednostruka dvokrilna klizna puna vrata  prema stolarskoj shemi V17</t>
  </si>
  <si>
    <t>Izrada, dobava i doprema unutarnjih jednostrukih dvokrilnih kliznih vrata.</t>
  </si>
  <si>
    <t>Stavka uključuje gornje vodilice, usadnu kvaku i bravu.</t>
  </si>
  <si>
    <t>Stavka uključuje ugradnju električne brave i mehanizma za otvaranje oba krila po vatrodojavi.</t>
  </si>
  <si>
    <t>Unutarnja jednostruka jednokrilna zaokretna puna vrata s nadsvjetlom i  futer dovratnikom prema stolarskoj shemi V13</t>
  </si>
  <si>
    <t xml:space="preserve">a) građevinski otvor: 184x227 cm
     svijetli otvor:90x205 cm
</t>
  </si>
  <si>
    <t>Unutarnja jednostruka dvokrilna zaokretna puna usklađena vrata  s usklađenim dovratnikom prema stolarskoj shemi V18</t>
  </si>
  <si>
    <t>Izrada, dobava i doprema unutarnjih jednostrukih dvokrilnih zaokretnih punih usklađenih vrata  s usklađenim dovratnikom.</t>
  </si>
  <si>
    <t>Krilo i dovratnik drveni, izrađeni od crnogorice.</t>
  </si>
  <si>
    <t>Završna obrada: krilo i dovratnik- flandai, smeđi ton.</t>
  </si>
  <si>
    <t>Stavka uključuje  tri para spojnica, kvaku i bravu.</t>
  </si>
  <si>
    <t>Izvode se komplet nova vrata, krila samo unutarnja, prema Hegedušićevoj dvorani; dovratnik, krila i okov u svemu prema shemi V8 - krila prema predvorju.</t>
  </si>
  <si>
    <t xml:space="preserve">a) građevinski otvor: 140x256 cm
     svijetli otvor:134x253 cm
</t>
  </si>
  <si>
    <t>Unutarnja jednostruka dvokrilna zaokretna puna usklađena vrata s usklađenim dovratnikom prema stolarskoj shemi V19</t>
  </si>
  <si>
    <r>
      <t>Pregled i obnova unutarnjih jednostrukih protupožarnih i protudimnih dvokrilnih zaokretnih punih usklađenih vrata s usklađenim dovratnikom, EI</t>
    </r>
    <r>
      <rPr>
        <vertAlign val="subscript"/>
        <sz val="10"/>
        <rFont val="Calibri"/>
        <family val="2"/>
      </rPr>
      <t>2</t>
    </r>
    <r>
      <rPr>
        <sz val="10"/>
        <rFont val="Calibri"/>
        <family val="2"/>
      </rPr>
      <t>30-C-Sm. Krila i dovratnik iz crnogorice.</t>
    </r>
  </si>
  <si>
    <t>Okov: 2xtri para spojnica, 2xkvaka+brava.</t>
  </si>
  <si>
    <t>Stavka uključuje uklanjanje sva četiri vratna krila s okovom, prilagodbu dovratnika za prihvat novih protupožarnih krila na sobnoj strani.
Stavka uključuje izvedbu novih krila - okvir iz čeličnih profila obložen čeličnim limom, ispuna kam. vunom, obloga MDF pločama 8-18mm (imitacija uklada);
Izvode se odgovarajuće protupožarne brtve i prag te skriveni zatvarač na svakom krilu.
Nova krila i okov izraditi u svemu prema postojećoj shemi V10.</t>
  </si>
  <si>
    <t xml:space="preserve">a) građevinski otvor: 141x253 cm
     svijetli otvor: 135x250cm
    </t>
  </si>
  <si>
    <t xml:space="preserve">b) građevinski otvor: 140x257 cm
     svijetli otvor: 134x254cm
    </t>
  </si>
  <si>
    <t>Pregled i obnova  dvostrukog dvokrilnog zaokretnog prozora s dvokrilnim zaokretnim nadsvjetlima i dvokrilnim griljama. Krila, doprozornik i grilje iz crnogorice.</t>
  </si>
  <si>
    <t>Okov: prozori - 2 x pet pari spojnica, četiri olive, dva parapetna stopera za vanjsko krilo
grilje - četiri para spojnica, dva zakretna zatvarača, dva držača otklopljene grilje, četiri poluge za pomične lamele, dvije spojnice gornjeg i donjeg krila grilje</t>
  </si>
  <si>
    <t>Stavka uključuje radova na doprozorniku, vanjskom prozorskom krilu sa staklima i klupčica - skidanje naliča, popravak, zamjena dotrajalih dijelova istovjetnim, ličenje mat lakom 
Stavka uključuje radova unutarnjem prozorskom krilu - zamjenu postojećih novima (u svemu prema postojećim) s ostakljenjem LOW-E izo staklom 6-16-4, ispuna argon, distancer u tonu krila, ličenje mat  lakom
Stavka uključuje ugradnju novih brtvi na unutarnja i vanjska prozorska krila. 
Stavka uključuje radove na griljama - skidanje naliča, popravak, zamjena dotrajalih dijelova istovjetnim, ličenje mat lakom,  po 		 potrebi zamjenu postojećih grilja komplet novima (sve prema postojećim)
Sav postojeći okov zamijeniti novim.
Zamjena svih postojećih limenih okapnica (tri pozicije) novima iz bakrenog lima .</t>
  </si>
  <si>
    <t>Oznaka sheme: P1</t>
  </si>
  <si>
    <t>Dvostruki dvokrilni zaokretni prozor s dvokrilnim zaokretnim nadsvjetlima i dvokrilnim griljama prema stolarskoj shemi P1</t>
  </si>
  <si>
    <t>Dvostruki dvokrilni zaokretni prozor s dvokrilnim zaokretnim nadsvjetlima i dvokrilnim griljama prema stolarskoj shemi P2</t>
  </si>
  <si>
    <t>Stavka uključuje radova na doprozorniku, vanjskom prozorskom krilu sa staklima i klupčica - skidanje naliča, popravak, zamjena dotrajalih dijelova istovjetnim, ličenje mat lakom.
Stavka uključuje radova unutarnjem prozorskom krilu - zamjenu postojećih novima (u svemu prema postojećim) s ostakljenjem LOW-E izo staklom 6-16-4, ispuna argon, distancer u tonu krila, ličenje mat  lakom.
Stavka uključuje ugradnju novih brtvi na unutarnja i vanjska prozorska krila. 
Stavka uključuje radove na griljama - skidanje naliča, popravak, zamjena dotrajalih dijelova istovjetnim, ličenje mat lakom,  po 		 potrebi zamjenu postojećih grilja komplet novima (sve prema postojećim)
Sav postojeći okov zamijeniti novim.
Zamjena svih postojećih limenih okapnica (tri pozicije) novima iz bakrenog lima.</t>
  </si>
  <si>
    <t>Oznaka sheme: P2</t>
  </si>
  <si>
    <t>Dvostruki dvokrilni zaokretni prozor s  dvokrilnim griljama prema stolarskoj shemi P3</t>
  </si>
  <si>
    <t>Pregled i obnova  dvostrukog dvokrilnog zaokretnog prozora s  dvokrilnim griljama. Krila, doprozornik i grilje iz crnogorice.</t>
  </si>
  <si>
    <t>Okov: prozori - 2 x pet pari spojnica, dvije olive, dva parapetna stopera za vanjsko krilo
grilje - tri para spojnica, jedan zakretni zatvarača, dva držača otklopljene grilje, dvije poluge za pomične lamele</t>
  </si>
  <si>
    <t>Oznaka sheme: P3</t>
  </si>
  <si>
    <t xml:space="preserve">Završna obrada: 
vanjska krila, doprozornik- nalič bijeli ton
unutarnja krila, doprozornik- prozirni lak
</t>
  </si>
  <si>
    <t>Ostakljenje: krila i nadsvjetla- jednostruko float staklo 6 mm</t>
  </si>
  <si>
    <t>Ostakljenje: krila- jednostruko float staklo 6 mm</t>
  </si>
  <si>
    <t>Ostakljenje: krila i nadsvjetlo- jednostruko float staklo 6 mm</t>
  </si>
  <si>
    <t xml:space="preserve">Okov: 2 x tri para spojnica, dvije olive, dva parapetna stopera za vanjsko krilo, trenjice na nadsvjetlima </t>
  </si>
  <si>
    <t>Stavka uključuje radova na doprozorniku, vanjskom prozorskom krilu sa staklima i klupčica - skidanje naliča, popravak, zamjena dotrajalih dijelova istovjetnim, ličenje mat lakom.
Stavka uključuje radova unutarnjem prozorskom krilu - popravak, zamjena dotrajalih dijelova istovjetnim, ličenje prozirnim lakom, sve prema postojećem stanju, zamjena postojećeg ostakljenja LOW-E izo staklom 6-16-4, ispuna argon, distancer u tonu krila.
Stavka uključuje ugradnju novih brtvi na unutarnja i vanjska prozorska krila. 
Zamjena postojeće limene okapnice na klupčici i vanjskom krilu novom iz bakrenog lima u tonu stolarije.
Obavezno postavljanje transparentne UV zaštitne folije na stakla.</t>
  </si>
  <si>
    <t>Oznaka sheme: P4</t>
  </si>
  <si>
    <t>Dvostruki dvokrilni zaokretni prozor prema stolarskoj  shemi P5</t>
  </si>
  <si>
    <t xml:space="preserve">Završna obrada:  krila, doprozornik- nalič bijeli ton
</t>
  </si>
  <si>
    <t>Ostakljenje:  jednostruko float staklo 6 mm</t>
  </si>
  <si>
    <t>Okov: 2 x tri para spojnica, dva zaokretna zatvarača, dva držača otklopljenog vanjskog krila.</t>
  </si>
  <si>
    <t>Stavka uključuje radova na doprozorniku, vanjskom prozorskom krilu sa staklima i klupčica - skidanje naliča, popravak, zamjena dotrajalih dijelova istovjetnim, ličenje mat lakom.
Stavka uključuje radova unutarnjem prozorskom krilu - zamjena postojećih novima (u svemu prema postojećim) s ostakljenjem LOW-E izo staklom 6-16-4, ispuna argon, distancer u tonu krila, ličenje mat  lakom.
Stavka uključuje ugradnju novih brtvi na unutarnja i vanjska prozorska krila. 
Zamjena svih postojećih limenih okapnica (tri pozicije) novima iz bakrenog lima, na krilu u tonu stolarije.
Obavezno postavljanje transparentne UV zaštitne folije na stakla.</t>
  </si>
  <si>
    <t>Oznaka sheme: P5</t>
  </si>
  <si>
    <t>Dvostruki dvokrilni zaokretni prozor s dvokrilnim zaokretnim nadsvjetlima i dvokrilnim griljama prema stolarskoj  shemi P6</t>
  </si>
  <si>
    <t>Pregled i obnova dvostrukog dvokrilnog zaokretnog prozora s dvokrilnim zaokretnim nadsvjetlima i dvokrilnim griljama. Krila, doprozornik i grilje iz crnogorice.</t>
  </si>
  <si>
    <t>Pregled i obnova  dvostrukog dvokrilnog zaokretnog prozora. Krila i doprozornik iz crnogorice.</t>
  </si>
  <si>
    <t>Okov:
prozori - 2 x pet pari spojnica, četiri olive, dva parapetna stopera za vanjsko krilo
grilje - četiri para spojnica, dva zakretna zatvarača, dva držača otklopljene grilje, četiri poluge za pomične lamele, dvije spojnice gornjeg i donjeg krila grilje</t>
  </si>
  <si>
    <t>Stavka uključuje radova na doprozorniku, vanjskom prozorskom krilu sa staklima i klupčica - skidanje naliča, popravak, zamjena dotrajalih dijelova istovjetnim, ličenje mat lakom.
Stavka uključuje radova unutarnjem prozorskom krilu - zamjena postojećih novima (u svemu prema postojećim) s ostakljenjem LOW-E izo staklom 6-16-4, ispuna argon, distancer u tonu krila, ličenje mat  lakom, u prostorijama s drvenom oplatom špalete uskladiti ton stolarije s oplatom.
Stavka uključuje ugradnju novih brtvi na unutarnja i vanjska prozorska krila. 
Stavka uključuje radove na griljama - skidanje naliča, popravak, zamjena dotrajalih dijelova istovjetnim, ličenje mat lakom, 	 o potrebi zamjena postojećih grilja komplet novima (sve prema postojećim).
Zamjena svih postojećih limenih okapnica (tri pozicije) novima iz bakrenog lima.
Obavezno postavljanje transparentne UV zaštitne folije na stakla.</t>
  </si>
  <si>
    <t>Oznaka sheme: P6</t>
  </si>
  <si>
    <t>Dvostruki dvokrilni zaokretni prozor s jednokrilnim  nadsvjetlom  prema stolarskoj  shemi P7</t>
  </si>
  <si>
    <t xml:space="preserve">Završna obrada:  
vanjska krila i doprozornik - nalič bijeli ton, 
unutarnja krila i doprozornik - prozirni lak
</t>
  </si>
  <si>
    <t>Ostakljenje:  krila i nadsvjetlo-jednostruko float staklo 6 mm</t>
  </si>
  <si>
    <t>Okov: 2xtri pari spojnica, dvije olive, trenjice a nadsvjetlima</t>
  </si>
  <si>
    <t xml:space="preserve">Stavka uključuje radova na doprozorniku, vanjskom prozorskom krilu sa staklima i klupčica - skidanje naliča, popravak, zamjena dotrajalih dijelova istovjetnim, ličenje mat lakom.
Stavka uključuje radova unutarnjem prozorskom krilu - zamjena postojećih novima (u svemu prema postojećim) s ostakljenjem LOW-E izo staklom 6-16-4, ispuna argon, distancer u tonu krila, ličenje mat  lakom.
Stavka uključuje ugradnju novih brtvi na unutarnja i vanjska prozorska krila. 
Zamjena svih postojećih limenih okapnica na klupčici i vanjskom krilu novom iz bakrenog lima u tonu stolarije.
</t>
  </si>
  <si>
    <t>Oznaka sheme: P7</t>
  </si>
  <si>
    <t>Dvostruki dvokrilni zaokretni prozor s dvokrilnim zaokretnim  nadsvjetlima i dvokrilnim griljama  prema stolarskoj  shemi P8</t>
  </si>
  <si>
    <t>Pregled i obnova dvostrukog dvokrilnog zaokretnog prozora s dvokrilnim zaokretnim  nadsvjetlima i dvokrilnim griljama. Krila, doprozornik i grilje iz crnogorice.</t>
  </si>
  <si>
    <t>Okov: 
prozori - 2 x pet pari spojnica, četiri olive, dva parapetna stopera za vanjsko krilo
grilje - četiri para spojnica, dva zakretna zatvarača, dva držača otklopljene grilje, četiri poluge za pomične lamele, dvije spojnice gornjeg i donjeg krila grilje</t>
  </si>
  <si>
    <t xml:space="preserve">Stavka uključuje radova na doprozorniku, vanjskom prozorskom krilu sa staklima i klupčica - skidanje naliča, popravak, zamjena dotrajalih dijelova istovjetnim, ličenje mat lakom.
Stavka uključuje radova unutarnjem prozorskom krilu - zamjena postojećih novima (u svemu prema postojećim) s ostakljenjem LOW-E izo staklom 6-16-4, ispuna argon, distancer u tonu krila, ličenje mat  lakom.
Stavka uključuje ugradnju novih brtvi na unutarnja i vanjska prozorska krila. 
Stavka uključuje radove na griljama-  skidanje naliča, popravak, zamjena dotrajalih dijelova istovjetnim, ličenje mat lakom,  po potrebi zamjena postojećih grilja komplet novima (sve prema postojećim).
Sav postojeći okov zamijeniti novim.
Zamjena svih postojećih limenih okapnica( tri pozicije) novima iz bakrenog lima.
</t>
  </si>
  <si>
    <t>Oznaka sheme: P8</t>
  </si>
  <si>
    <t>Pregled i obnova dvostrukog dvodijelnog jednokrilnog zaokretnog prozora s jednokrilnim zaokretnim  nadsvjetlima i jednokrilnim griljama. Krila, doprozornik i grilje iz crnogorice.</t>
  </si>
  <si>
    <t>Okov: 
prozori - 2 x pet pari spojnica, osam poluoliva, dva parapetna stopera za vanjsko krilo
grilje - četiri para spojnica, dva zakretna zatvarača, dva držača otklopljene grilje, četiri poluge za pomične lamele, dvije spojnice gornjeg i donjeg krila grilje</t>
  </si>
  <si>
    <t>Oznaka sheme: P9</t>
  </si>
  <si>
    <t>Krovni jednokrilni otklopni prozor sa središnjim ovjesom prema stolarskoj shemi P10</t>
  </si>
  <si>
    <t>Laminirano drvo obloženo poliuretanskim slojem, vanjski pokrovni profili iz aluminija.</t>
  </si>
  <si>
    <t>Završna obrada: 
drvo- poliuretanski bijeli lak
aluminij- antracit sivo bojani RAL 7043</t>
  </si>
  <si>
    <t>Ostakljenje: trostruko sigurnosno staklo 6+12+3+12+4</t>
  </si>
  <si>
    <t>Stavka uključuje ručku za otvaranje sa donje strane i otvor za provjetravanje u gornjem dijelu krila.</t>
  </si>
  <si>
    <t>Stavka uključuje ugradnju  termo i hidroizolacijskog seta s parnom branom te opšav za pojedinačnu ugradnju na ravni pokrov.
Stavka uključuje ugradnju unutarnjeg rolo sjenila za zamračenje i zasjenjenje.
U stavku uključiti eventualno potrebne drvene grede za ugradnju prozora.</t>
  </si>
  <si>
    <t>Oznaka sheme: P10</t>
  </si>
  <si>
    <t xml:space="preserve">a) građevinski otvor: 78x117,8 cm
     svijetli otvor:70x110 cm
</t>
  </si>
  <si>
    <t xml:space="preserve">b) građevinski otvor: 114x160 cm
     svijetli otvor:106x152 cm
</t>
  </si>
  <si>
    <t>Krovni jednokrilni otklopni prozor sa središnjim ovjesom prema stolarskoj shemi P11</t>
  </si>
  <si>
    <t>Stavka uključuje ručku za otvaranje  i otvor za provjetravanje u gornjem dijelu krila.</t>
  </si>
  <si>
    <t>Stavka uključuje ugradnju  termo i hidroizolacijskog seta s parnom branom te opšav za pojedinačnu ugradnju na ravni pokrov.
Stavka uključuje ugradnju elektromotora za otvaranje i zatvaranje, bežični zidni prekidač, senzor za kišu, kontrolni set za odimljavanje. 
U stavku uključiti eventualno potrebne drvene grede za ugradnju prozora.</t>
  </si>
  <si>
    <t>Oznaka sheme: P11</t>
  </si>
  <si>
    <t xml:space="preserve">a) građevinski otvor: 66x117,80 cm
     svijetli otvor:58x110 cm
</t>
  </si>
  <si>
    <t xml:space="preserve">b) građevinski otvor: 78x117,80 cm
     svijetli otvor:70x110 cm
</t>
  </si>
  <si>
    <t>Dvostruki dvokrilni zaokretni prozor s dvokrilnim zaokretnim  nadsvjetlima i dvokrilnim griljama  prema stolarskoj  shemi P12</t>
  </si>
  <si>
    <t>Pregled i obnova protupožarnog dvostrukog dvokrilnog zaokretnog prozora s dvokrilnim zaokretnim  nadsvjetlima i dvokrilnim griljama, EI 60 . Krila, doprozornik i grilje iz crnogorice.</t>
  </si>
  <si>
    <t>Stavka uključuje ugradnju novih brtvi na unutarnja i vanjska prozorska krila. 
Stavka uključuje radove na griljama-  skidanje naliča, popravak, zamjena dotrajalih dijelova istovjetnim, ličenje mat lakom,  po potrebi zamjena postojećih grilja komplet novima (sve prema postojećim).
Sav postojeći okov zamijeniti novim.
Zamjena svih postojećih limenih okapnica( tri pozicije) novima iz bakrenog lima.</t>
  </si>
  <si>
    <t>Oznaka sheme: P12</t>
  </si>
  <si>
    <t>Oznaka sheme: P13</t>
  </si>
  <si>
    <t>Sanitarne pregrade</t>
  </si>
  <si>
    <t>Završna obrada:
ploče- metalik završna obrada obostrana
okov- inox bijeli mat</t>
  </si>
  <si>
    <t>Izrada, doprema i montaža unutarnje trodijelne pregrade sa jednokrilnim zaokretnim punim vratima. Pregrada se izvodi od HPL laminat ploča debljina 13 mm sa bijelom jezgrom. Pregrada se ugrađuje između zida od opeke i GK zida, na visini 10 cm od poda.</t>
  </si>
  <si>
    <t>Obveza izvođača izraditi radionički nacrt i dostaviti glavnom projektantu na kontrolu. Izvođač je obavezan dostaviti uzorke profila, okova pribora, završne obrade i tona na pregled i ovjeru projektantu prije izvedbe stavke.</t>
  </si>
  <si>
    <t>a) građevinski otvor: 87x210 cm
svijetli otvor: 60x200 cm
smjer otvaranja: L</t>
  </si>
  <si>
    <t>b) građevinski otvor: 97x210 cm
svijetli otvor: 60x200 cm
smjer otvaranja: D</t>
  </si>
  <si>
    <t>c) građevinski otvor: 104x210 cm
svijetli otvor: 60x200 cm
smjer otvaranja: D</t>
  </si>
  <si>
    <t>Oznaka sheme: S1</t>
  </si>
  <si>
    <t>Izrada, doprema i montaža unutarnje trodijelne pregrade sa jednokrilnim zaokretnim punim vratima. Pregrada se izvodi od HPL laminat ploča debljina 13 mm sa bijelom jezgrom. Pregrada se ugrađuje između GK zidova, na visini 10 cm od poda.</t>
  </si>
  <si>
    <t>Oznaka sheme: S2</t>
  </si>
  <si>
    <t>a) građevinski otvor: 80x210 cm
svijetli otvor: 60x200 cm
smjer otvaranja: D</t>
  </si>
  <si>
    <t>c) građevinski otvor: 140x210 cm
svijetli otvor: 60x200 cm
smjer otvaranja: D</t>
  </si>
  <si>
    <t>d) građevinski otvor: 107x210 cm
svijetli otvor: 60x200 cm
smjer otvaranja: D</t>
  </si>
  <si>
    <t>Unutarnja jednodijelna fiksna pregrada prema stolarskoj shemi S3</t>
  </si>
  <si>
    <t>Izrada, doprema i montaža unutarnje jednodijelne fiksna pregrade. Pregrada se izvodi od HPL laminat ploča debljina 13 mm sa bijelom jezgrom. Pregrada se ugrađuje  na visini 10 cm od poda.</t>
  </si>
  <si>
    <t>Okov:  nožice</t>
  </si>
  <si>
    <t>Oznaka sheme: S3</t>
  </si>
  <si>
    <t xml:space="preserve">a) građevinski otvor: 40x210 cm
</t>
  </si>
  <si>
    <t xml:space="preserve">b) građevinski otvor: 80x210 cm
</t>
  </si>
  <si>
    <t>Oprema</t>
  </si>
  <si>
    <t>Završna obrada:
ploče- metalik završna obrada obostrana
okov- inox mat</t>
  </si>
  <si>
    <t>Okov: skrivene spojnice fronti ormara i otklopnih dijelova pulta, tip-on otvarači fronti</t>
  </si>
  <si>
    <t>Izrada, doprema i montaža garderobnog  pulta sa ugradbenim ormarom.
Pult iz HPL ploča izvodi se na potkonstrukciji iz čeličnih profila 30x30 mm. Plut i fronte izrađeni od HPL laminat ploča debljine 13 mm sa crnom jezgrom, a korpusi od iverala 18 i 25 mm.</t>
  </si>
  <si>
    <t xml:space="preserve">Dobava, doprema svih osnovnih materijala, spojnog i pričvrsnog pribora i okova te ugradnja i završna obrada je sastavni dio radova  i uključena je u cijenu stavke. Obrada, boja i svi detalji  izvode se nakon potvrde projektanta. U cijenu stavke uključiti komplet sav potreban rad i materijal prema opisu u troškovniku i na shemi, kao i sve dodatne radove i materijale potrebne da se izradi kompletna stavka kao oblikovna i funkcionalna cjelina, transport i ugradnju vrata sa svom pripadajućom opremom.
</t>
  </si>
  <si>
    <t>Dobava, doprema svih osnovnih materijala, spojnog i pričvrsnog pribora i okova te ugradnja i završna obrada je sastavni dio radova  i uključena je u cijenu stavke. Obrada, boja i svi detalji  izvode se nakon potvrde projektanta. U cijenu stavke uključiti komplet sav potreban rad i materijal prema opisu u troškovniku i na shemi, kao i sve dodatne radove i materijale potrebne da se izradi kompletna stavka kao oblikovna i funkcionalna cjelina, transport i ugradnju vrata sa svom pripadajućom opremom.</t>
  </si>
  <si>
    <t xml:space="preserve">a) pult: 240x25x95 cm
</t>
  </si>
  <si>
    <t xml:space="preserve">b) ormar G1: 120x60x360 cm
</t>
  </si>
  <si>
    <t xml:space="preserve">c) ormar G2: 120x60x360 cm
</t>
  </si>
  <si>
    <t xml:space="preserve">Završna obrada:
HPL ploče- metalik završna obrada obostrana
završna obloga obavijesne ploče i parapeta pulta-magnetna čelična ploča u boji.
</t>
  </si>
  <si>
    <t>Pult i obloge špaleta ( okviri) se izvode od HPL laminat ploča debljine 30 mm sa jezgrom u boji dekora,  a parapeti i radne plohe pulta oda HPL laminat ploča debljine 13 mm sa jezgrom u boji dekora.</t>
  </si>
  <si>
    <t>Ostakljenje:
kaljeno staklo 8 mm u čeličnom rubnom profilu u odobrenom tonu
U staklu se izvodi otvor za pult dimenzija 30x20 cm.</t>
  </si>
  <si>
    <t>Dobava, dostava i izrada unutrašnjeg zida debljine 12,5 cm prema negrijanom prostoru 
Sastav zida je:</t>
  </si>
  <si>
    <t>Dobava, dostava i izrada unutrašnjeg zida debljine 32 cm kao nastavak postojećeg zidanog zida.
Sastav zida je:</t>
  </si>
  <si>
    <t>b) obloga od impregniranih gipskartonskih ploča za mokre prostore</t>
  </si>
  <si>
    <t>U stavku uključena i dobava i postava vune debljine 20 cm te parne brane.</t>
  </si>
  <si>
    <t xml:space="preserve">Fugiranje izvesti cementnom masom, klase CG2 (EN 13888 ili jednakovrijednom), otpornim na soli za odleđivanje. Na radnim reškama ugraditi trajnoelastično poliuretansko brtvilo, PE ispunu za fugu i odgovarajući temeljni premaz. Svi proizvodi trebaju biti kompatibilni. Dokaz kompatibilnosti dostaviti nadzornom inženjeru i projektantu. Radove izvesti prema uputama proizvođača materijala. </t>
  </si>
  <si>
    <t>Potrebne karakteristike sistema vrata  (HRN EN 14351) ili jednakovrijedno:
kvaliteta materijala : EN 10025-2:2007 ili jednakovrijedno , S235JR ili jednakovrijedno
debljina stijenke : 1.5 mm
prosječni koeficijent prolaza topline profila:      Uf &gt; 1.1 W/m²K 
otpornost na udar vjetra: HRN EN 12210 ili jednakovrijedno:    C5
vodonepropusnost: HRN EN 12208 ili jednakovrijedno:    klasa E750 
zrakopropusnost: HRN EN 12207 ili jednakovrijedno:    klasa 4
čvrstoća spoja izolatora: HRN EN 14024 ili jednakovrijedno:    klasa CW/TC2</t>
  </si>
  <si>
    <t>2.1.1 PANIK OKOV na evakuacijskim vratima, puna panika, prema HRN EN 1125 ili jednakovrijedno: "B" funkcija - s vanjske strane kvaka, s unutarnje panik letva; vrata su  prohodna u oba smjera dok su otključana, zaključana su prohodna samo u smjeru evakuacije. 
"E" funkcija - s vanjske strane fiksni rukohvat, s unutarnje panik letva. Izvana prema unutra moguć prolaz samo s ključem. Vrata imaju mogućnost  podešavanja kontroliranog dnevnog režima prolaza s vanjske strane  
 Djelomična panika, HRN EN 179 ili jednakovrijedno, za poznate korisnike - "B" i "E" funkcije, umjesto panik letve kvaka.</t>
  </si>
  <si>
    <t xml:space="preserve">Stavke uključuju izradu, dobavu i ugradnju krovne fasadne stijene u sistemu čeličnih profila s prekidom toplinskog mosta, max. širine profila 50 mm, debljine stijenke min. 1.5 mm, ugradbene dubine u skladu sa statičkim proračunom. Stijena se izrađuje od sistema samonosivih čeličnih horizontalnih i vertikalnih nosivih profila koji osiguravaju prekid toplinskog mosta. Svi rubovi profila blago su zaobljeni. Širina vertikalnih i horizontalnih profila iznosi 50 mm. s vanjske strane se na vertikalama i horizontalama nalazi pokrovna kapa širine 50mm, poprečna (horizontalna) kapa sa zaobljenjem.
Odvodnja kondenzata sistemski je riješena preklapanjem vertikalne i horizontalne unutarnje gume na spoju, spoj se dodatno ručno vulkanizira pomoću spec. trake, a kondenzat se sa horizontale odvodi na vertikalu i po njoj spušta dolje izvan fasade.
Izjednačavanje parcijalnih tlakova vodene pare u sistemu omogućava  plastični umetak koji se ugrađuje ispod gume horizontala na svakih 600-800 mm, izvana nevidljivo. U stavku se prema potrebi sistemski ugrađuju krovni prozori mase krila do 60 kg, na ručni ili elektropogon. Min. nagib ugradnje 7 st.
</t>
  </si>
  <si>
    <t>Potrebne karakteristike fasadnog krovnog sistema prema HRN EN 13830 ili jednakovrijedno:
-zrakopropusnost: EN 12152 ili jednakovrijedno:  klasa AE 750
-vodonepropusnost: EN 12154 ili jednakovrijedno:  klasa RE 1200
-otpornost na udar vjetra: EN 12179 ili jednakovrijedno:  2.0/3.0 kN/m2
-otpornost na udar: EN 14019 ili jednakovrijedno: klasa I5/E5</t>
  </si>
  <si>
    <t>Čelični profili moraju biti isporučeni vruće cinčani (EN 13046 ili jednakovrijedno, max. debljina sloja 5-12µm ili maks. 100g/m2), završna obrada prema projektnoj dokumentaciji (plastifikacija po RAL-u, bojanje, lakiranje...) u skladu s EN 12944 ili jednakovrijedno za čelične konstrukcije.</t>
  </si>
  <si>
    <t xml:space="preserve">U cijeni stavke uključiti komplet sav potreban rad i materijal prema opisu u troškovniku, kao i sve dodatne radove i materijale potrebne da se izradi kompletna stavka kao oblikovna i funkcionalna cjelina. Svi spojni limovi, opšavi, toplinske izolacije, hidroizolacije i parne brane koje se prema pravilima struke ugrađuju, sastavni su dio ove stavke i uključeni su u jedinične cijene stavki. </t>
  </si>
  <si>
    <t>a) građevinski otvor: 80x165 cm
    svijetli otvor: 70x160 cm
    smjer otvaranja: L</t>
  </si>
  <si>
    <t>b) građevinski otvor: 90x205 cm
    svijetli otvor: 80x200 cm
    smjer otvaranja: D</t>
  </si>
  <si>
    <t>c) građevinski otvor: 96x135 cm
    svijetli otvor: 86x130 cm
    smjer otvaranja: L</t>
  </si>
  <si>
    <t>d) građevinski otvor: 100x145 cm
    svijetli otvor: 90x140 cm
    smjer otvaranja: L</t>
  </si>
  <si>
    <t>e) građevinski otvor:105x165 cm
    svijetli otvor: 95x160 cm
    smjer otvaranja: L</t>
  </si>
  <si>
    <t>Izrada, dobava i ugradnja čelične interijerske ostakljene stijene s dvoja dvokrilna zaokretna (135x285cm) i jednim jednokrilnim zaokretnim (90x285cm) vratima, u sistemu č. profila bez prekida toplinskog mosta, ugradbene dubine maks. 50 mm kao 2.3 ili jednakovrijedno, u svemu prema shemi.
Ostakljenje unutarnjih stavki bez parapeta, dvoslojno sigurnosno staklo: 
TIP B: 4-10-4 (kaljeno), distancer u tonu krila.
Stijena sadrži 2x dvokrilna i 1x jednokrilna vrata sa standardnim okovom koji uključuje standardan okov - 3x cilindar bravu u min. 3 točke zabravljivanja, 5x kvaku prema izboru projektanta, min. 3 panta na krilu,  5x podni odbojnik, 5x automatski spuštajući prag.
Bravu ugraditi unutar za to posebno izrađenog kućišta, između dvije horizontalne prečke, prema teh. dokumentaciji proizvođača sistema.</t>
  </si>
  <si>
    <t>Izrada, dobava i ugradnja čelične interijerske ostakljene stijene s jednim jednokrilnim zaokretnim (90x285cm) vratima u sistemu č. profila bez prekida toplinskog mosta, ugradbene dubine maks. 50 mm kao 2.3 ili jednakovrijedno, u svemu prema shemi.
Ostakljenje unutarnjih stavki bez parapeta, dvoslojno sigurnosno staklo: 
TIP B: 4-10-4 (kaljeno), distancer u tonu krila.
Stijena sadrži 1x jednokrilna vrata sa standardnim okovom koji uključuje standardan okov - cilindar bravu u min. 3 točke zabravljivanja, kvaku prema izboru projektanta, min. 3 panta na krilu, podni odbojnik, automatski spuštajući prag.
Bravu ugraditi unutar za to posebno izrađenog kućišta, između dvije horizontalne prečke, prema teh. dokumentaciji proizvođača sistema.</t>
  </si>
  <si>
    <t>Izrada, dobava i ugradnja čelične interijerske ostakljene stijene s dvokrilnim zaokretnim (130x285cm) vratima u sistemu č. profila bez prekida toplinskog mosta, ugradbene dubine maks. 50 mm kao 2.3 ili jednakovrijedno, u svemu prema shemi.
Ostakljenje unutarnjih stavki bez parapeta, dvoslojno sigurnosno staklo: 
TIP B: 4-10-4 (kaljeno), distancer u tonu krila.
Stijena sadrži 1x dvokrilna vrata sa standardnim okovom koji uključuje standardan okov - cilindar bravu u min. 3 točke zabravljivanja, 2x kvaku prema izboru projektanta, min. 3 panta na krilu, 2x podni odbojnik, 2x automatski spuštajući prag.
Bravu ugraditi unutar za to posebno izrađenog kućišta, između dvije horizontalne prečke, prema teh. dokumentaciji proizvođača sistema</t>
  </si>
  <si>
    <t>Izrada, dobava i ugradnja krovne dvodijelne fiksne ostakljene stijene na sljemenu krova u sistemu čeličnih profila s prekidom toplinskog mosta, kao tip 2.2 ili jednakovrijedno, u svemu prema shemi.
Profile dimenzionirati u skladu s odgovarajućim opterećenjem od snijega, vjetra i vlastite težine konstrukcije. Profile sidriti na postojeću č. potkonstrukciju krova.
Koristiti krovne poklopnice s nagibom u smjeru pada.
Krovno ostakljenje, sigurnosno staklo: 
TIP C: 10 (kaljeno) - 16 Ar - 66.2LowE, distancer u tonu profila.</t>
  </si>
  <si>
    <t>Izrada, dobava i ugradnja krovne jednodijelne fiksne ostakljene stijene u sistemu čeličnih profila s prekidom toplinskog mosta, kao tip 2.2 ili jednakovrijedno, u svemu prema shemi.
Profile dimenzionirati u skladu s odgovarajućim opterećenjem od snijega, vjetra i vlastite težine konstrukcije. Profile sidriti na postojeću č. potkonstrukciju krova.
Koristiti krovne poklopnice s nagibom u smjeru pada.
Krovno ostakljenje, sigurnosno staklo: 
TIP C: 10 (kaljeno) - 16 Ar - 66.2LowE, distancer u tonu profila.</t>
  </si>
  <si>
    <r>
      <t>Izrada, dobava i ugradnja unutarnjih jednokrilnih zaokretnih protupožarnih i protudimnih punih vrata, s fiksnim nadsvjetlom, klasa EI</t>
    </r>
    <r>
      <rPr>
        <vertAlign val="subscript"/>
        <sz val="10"/>
        <rFont val="Calibri"/>
        <family val="2"/>
      </rPr>
      <t>2</t>
    </r>
    <r>
      <rPr>
        <sz val="10"/>
        <rFont val="Calibri"/>
        <family val="2"/>
      </rPr>
      <t xml:space="preserve"> 30-C-Sm, u sistemu čeličnih profila s prekidom toplinskog mosta, ugradbene dubine 60 mm, kao 2.1 ili jednakovrijedno, krilo pocinčani čelični lim s protupožarnom ispunom, u svemu prema shemi.
Ostakljenje EI 30, d=25 mm ili sl., u skladu s Certifikatom o stalnosti svojstava ili jednakovrijedno. Krilo i dovratnik su u istoj ravnini.
Vrata sadrže standardan okov, cilindar brava, kvaka, integrirani hidraulički zatvarač HRN EN 1154 ili jednakovrijedno, min. 3 panta, podni odbojnik, automatski prag bez barijere.
</t>
    </r>
  </si>
  <si>
    <r>
      <t>Izrada, dobava i ugradnja unutarnjih dvokrilnih zaokretnih protupožarnih i protudimnih ostakljenih vrata s lučnim nadsvjetlom, klasa EI</t>
    </r>
    <r>
      <rPr>
        <vertAlign val="subscript"/>
        <sz val="10"/>
        <rFont val="Calibri"/>
        <family val="2"/>
      </rPr>
      <t>2</t>
    </r>
    <r>
      <rPr>
        <sz val="10"/>
        <rFont val="Calibri"/>
        <family val="2"/>
      </rPr>
      <t xml:space="preserve"> 30-C-Sm, u sistemu čeličnih profila s prekidom toplinskog mosta, ugradbene dubine 60 mm, kao 2.1 ili jednakovrijedno, u svemu prema shemi. 
Ostakljenje EI 30, d=16 mm ili sl. jednostruko višeslojno, u skladu s Certifikatom o stalnosti svojstava ili jednakovrijedno. Krilo i dovratnik su u istoj ravnini.
Vrata sadrže evakuacijski okov - cilindar bravu s panik letvom na strani evakuacije i kvakom sa suprotne strane, funkcija "B", EN 1125 ili jednakovrijedno, vidi 2.1.1, integrirani hidraulički zatvarač HRN EN 1154 ili jednakovrijedno, min. 3 panta, automatski prag bez barijere, podni odbojnik.
Luk saviti u skladu s preporučenim radijusima savijanja.</t>
    </r>
  </si>
  <si>
    <r>
      <t>Izrada, dobava i ugradnja unutarnjih jednokrilnih zaokretnih protupožarnih i protudimnih ostakljenih vrata, klasa EI</t>
    </r>
    <r>
      <rPr>
        <vertAlign val="subscript"/>
        <sz val="10"/>
        <rFont val="Calibri"/>
        <family val="2"/>
      </rPr>
      <t>2</t>
    </r>
    <r>
      <rPr>
        <sz val="10"/>
        <rFont val="Calibri"/>
        <family val="2"/>
      </rPr>
      <t xml:space="preserve"> 30-C-Sm, u sistemu čeličnih profila s prekidom toplinskog mosta, ugradbene dubine 60 mm, kao 2.1 ili jednakovrijedno, u svemu prema shemi. 
Ostakljenje EI 30, d=16 mm ili sl. jednostruko višeslojno, u skladu s Certifikatom o stalnosti svojstava ili jednakovrijedno. Krilo i dovratnik su u istoj ravnini.
Vrata sadrže standardan okov, cilindar brava, kvaka, integrirani hidraulički zatvarač HRN EN 1154 ili jednakovrijedno, min. 3 panta, podni odbojnik, automatski prag bez barijere.</t>
    </r>
  </si>
  <si>
    <r>
      <t>Izrada, dobava i ugradnja unutarnjih jednokrilnih zaokretnih protupožarnih i protudimnih ostakljenih vrata, s fiksnim nadsvjetlom klasa EI</t>
    </r>
    <r>
      <rPr>
        <vertAlign val="subscript"/>
        <sz val="10"/>
        <rFont val="Calibri"/>
        <family val="2"/>
      </rPr>
      <t>2</t>
    </r>
    <r>
      <rPr>
        <sz val="10"/>
        <rFont val="Calibri"/>
        <family val="2"/>
      </rPr>
      <t xml:space="preserve"> 30-C-Sm, u sistemu čeličnih profila s prekidom toplinskog mosta, ugradbene dubine 60 mm, kao 2.1 ili jednakovrijedno, u svemu prema shemi. Izvodi se slijepi dovratnik prema shemi.
Ostakljenje EI 30, d=16 mm ili sl., jednostruko višeslojno u skladu s Certifikatom o stalnosti svojstava ili jednakovrijedno. Krilo i dovratnik su u istoj ravnini.
Vrata sadrže standardan okov, cilindar brava, kvaka, integrirani hidraulički zatvarač HRN EN 1154 ili jednakovrijedno, min. 3 panta, automatski prag bez barijere, podni odbojnik. Vrata su stalno otvorena, spojena na elektromagnete i vatrodojavu, po čijem se signalu u slučaju požara automatski zatvaraju i zabravljuju.</t>
    </r>
  </si>
  <si>
    <t>Izrada, dobava i ugradnja unutarnjih jednokrilnih zaokretnih protupožarnih i protudimnih ostakljenih vrata, s fiksnim nadsvjetlom klasa EI2 30-C-Sm, u sistemu čeličnih profila s prekidom toplinskog mosta, ugradbene dubine 60 mm, kao 2.1 ili jednakovrijedno, u svemu prema shemi.  U jediničnu cijenu stavke uključiti izvedbu slijepog dovratnika iz čeličnih profila radi formiranja bravarskog otvora širine 117 cm, odosno 121 cm za ugradnju dovratnika.
Ostakljenje EI 30, d=16 mm ili sl. jednostruko višeslojno, u skladu s Certifikatom o stalnosti svojstava. Krilo i dovratnik su u istoj ravnini.
Vrata sadrže standardan okov, cilindar brava, kvaka, integrirani hidraulički zatvarač HRN EN 1154 ili jednakovrijedno, min. 3 panta, automatski prag bez barijere. Vrata su stalno otvorena, spojena na elektromagnete i vatrodojavu, po čijem se signalu u slučaju požara automatski zatvaraju i zabravljuju.</t>
  </si>
  <si>
    <r>
      <t>Izrada, dobava i ugradnja unutarnjih dvokrilnih zaokretnih protupožarnih i protudimnih ostakljenih vrata, klasa EI</t>
    </r>
    <r>
      <rPr>
        <vertAlign val="subscript"/>
        <sz val="10"/>
        <rFont val="Calibri"/>
        <family val="2"/>
      </rPr>
      <t>2</t>
    </r>
    <r>
      <rPr>
        <sz val="10"/>
        <rFont val="Calibri"/>
        <family val="2"/>
      </rPr>
      <t xml:space="preserve"> 30-C-Sm, u sistemu čeličnih profila s prekidom toplinskog mosta, ugradbene dubine 60 mm, kao 2.1 ili jednakovrijedno, u svemu prema shemi. 
Ostakljenje EI 30, d=16 mm ili sl., jednostruko višeslojno u skladu s Certifikatom o stalnosti svojstava ili jednakovrijedno. Krilo i dovratnik su u istoj ravnini.
Vrata sadrže evakuacijski okov - cilindar bravu s panik letvom na strani evakuacije i kvakom sa suprotne strane, funkcija "B", EN 1125 ili jednakovrijedno, vidi 2.1.1, integrirani hidraulički zatvarač HRN EN 1154 ili jednakovrijedno, min. 3 panta, 2x podni odbojnik, automatski prag bez barijere.</t>
    </r>
  </si>
  <si>
    <r>
      <t>Izrada, dobava i ugradnja unutarnjih dvokrilnih zaokretnih protupožarnih i protudimnih ostakljenih vrata, s fiksnim nadsvjetlom, klasa EI</t>
    </r>
    <r>
      <rPr>
        <vertAlign val="subscript"/>
        <sz val="10"/>
        <rFont val="Calibri"/>
        <family val="2"/>
      </rPr>
      <t>2</t>
    </r>
    <r>
      <rPr>
        <sz val="10"/>
        <rFont val="Calibri"/>
        <family val="2"/>
      </rPr>
      <t xml:space="preserve"> 30-C-Sm, u sistemu čeličnih profila s prekidom toplinskog mosta, ugradbene dubine 60 mm, kao 2.1 ili jednakovrijedno, u svemu prema shemi. 
Ostakljenje EI 30, d=16 mm ili sl., jednostruko višeslojno u skladu s Certifikatom o stalnosti svojstava ili jednakovrijedno. Krilo i dovratnik su u istoj ravnini.
Vrata sadrže standardan okov, cilindar brava, kvaka, integrirani hidraulički zatvarač HRN EN 1154 ili jednakovrijedno, min. 3panta, 2x podni odbojnik, automatski prag bez barijere.</t>
    </r>
  </si>
  <si>
    <t>a) građevinski otvor: 165x570 cm- komada 5
    dimenzije rešetke: 142x135 cm- 4 komada po otvoru</t>
  </si>
  <si>
    <t>b) građevinski otvor: 200x580 cm- komada 3
    dimenzije rešetke: 177x138 cm- 4 komada po otvoru</t>
  </si>
  <si>
    <t>Stavka uključuje demontažu i ponovnu montažu nakon popravka te sav potreban horizontalni i vertikalni transport ukoliko se  radovi popravka odvijanju na mjestu različitom od mjesta ugradnje.</t>
  </si>
  <si>
    <t>Pregled i obnova vanjskih jednostrukih dvokrilnih zaokretnih usklađenih ustakljenih vrata s  kovanom rešetkom. Krila  i dovratnik iz hrasta.</t>
  </si>
  <si>
    <t>Stavka uključuje za  vanjska vrata skidanje naliča, popravak i zamjenu dotrajalih dijelova istovjetnim, ličenje mat lakom te  izvedbu nove limene okapnice na krilu uz prag u tonu stolarije. 
Stavka uključuje za unutarnja vrata popravak i zamjenu dotrajalih dijelova istovjetnim, ličenje prozirnim lakom, sve prema postojećem stanju, zamjenu postojećeg ostakljenja LOW-E izo staklom 6-16-4, ispuna argon, distancer u tonu krila.
Stavka uključuje ugradnju novih brtvi na unutarnja i vanjska vratna krila
obavezno postavljanje transparentne UV zaštitne folije na stakla.</t>
  </si>
  <si>
    <t>Završna obrada: 
krila, doprozornik- nalič bijeli ton
grilje- nalič svijetlosivi ton</t>
  </si>
  <si>
    <t>a) građevinski otvor: 132x196 cm
    svijetli otvor: 118x109+56 cm</t>
  </si>
  <si>
    <t>a) građevinski otvor: 114x200 cm
    svijetli otvor: 100x109+56 cm</t>
  </si>
  <si>
    <t>Stavka uključuje radova na doprozorniku, vanjskom prozorskom krilu sa staklima i klupčica - skidanje naliča, popravak, zamjena dotrajalih dijelova istovjetnim, ličenje mat lakom.
Stavka uključuje radova unutarnjem prozorskom krilu - zamjenu postojećih novima (u svemu prema postojećim) s ostakljenjem LOW-E izo staklom 6-16-4, ispuna argon, distancer u tonu krila, ličenje mat  lakom. Na oba unutarnja krila izvodi se hidraulički zatvarač s redoslijednikom zatvaranja. Potrebno ugraditi bravu za zaključavanje krila s olivom.
Stavka uključuje ugradnju novih brtvi na unutarnja i vanjska prozorska krila. 
Stavka uključuje radove na griljama - skidanje naliča, popravak, zamjena dotrajalih dijelova istovjetnim, ličenje mat lakom,  po 		 potrebi zamjenu postojećih grilja komplet novima (sve prema postojećim)
Sav postojeći okov zamijeniti novim.
Zamjena svih postojećih limenih okapnica (dvije pozicije) novima iz bakrenog lima.</t>
  </si>
  <si>
    <t>a) građevinski otvor: 106x173 cm
    svijetli otvor: 92x154 cm</t>
  </si>
  <si>
    <t>Dvostruki dvokrilni zaokretni prozor s  jednokrilnim nadsvjetlom prema stolarskoj shemi P4</t>
  </si>
  <si>
    <t>Pregled i obnova  dvostrukog dvokrilnog zaokretnog prozora s  jednokrilnim nadsvjetlom.  Vanjska krila, doprozornik iz crnogorice, unutarnja krila i doprozornik iz hrasta.</t>
  </si>
  <si>
    <t>a) građevinski otvor: 122x288 cm
    svijetli otvor: 110x199+59 cm</t>
  </si>
  <si>
    <t>a) građevinski otvor: 98x198 cm
    svijetli otvor: 94x188 cm</t>
  </si>
  <si>
    <t xml:space="preserve">Završna obrada:  
krila, doprozornik - nalič smeđi ton, 
vanjska strana vanjskog krila - nalič bijeli ton
grilje - nalič svijetlosivi ton
</t>
  </si>
  <si>
    <t>a) građevinski otvor: 120x237cm
    svijetli otvor: 107x123+78 cm</t>
  </si>
  <si>
    <t>Pregled i obnova dvostrukog dvokrilnog zaokretnog prozora s jednokrilnim nadsvjetlom. Vanjska krila i doprozornik iz crnogorice, unutarnja krila i doprozornik iz hrasta.</t>
  </si>
  <si>
    <t>a) građevinski otvor: 122x280 cm
    svijetli otvor: 111x189+62 cm</t>
  </si>
  <si>
    <t xml:space="preserve">Završna obrada:  
krila i doprozornik - nalič bijeli ton, 
grilje - nalič svijetlosivi ton
</t>
  </si>
  <si>
    <t>a) građevinski otvor: 120x220 cm
    svijetli otvor: 107x123+64 cm</t>
  </si>
  <si>
    <t>a) građevinski otvor: 132x196 cm
    svijetli otvor:2x(50x109+56) cm</t>
  </si>
  <si>
    <t xml:space="preserve">Stavka uključuje radova na doprozorniku, vanjskom prozorskom krilu sa staklima i klupčica - skidanje naliča, popravak, zamjena dotrajalih dijelova istovjetnim, ličenje mat lakom.
Stavka uključuje radova unutarnjem prozorskom krilu - zamjena postojećih novim protupožarnim (u svemu prema postojećim) ,a aluminijski okvir s drvenom oblogom, prekinutim toplinskim mostom i protupožarnom ispunom  vatrootporno EI60 izo staklo 6+16+4 s argonom i LOW-E zaštitom, distancer u tonu krila, ličenje mat  lakom .
Na oba unutarnja donja krila izvodi se hidraulični zatvarač s redosljednikom zatvaranja. Potrebno ugraditi bravu za zaključavanje donjeg krila s olivom. Krila nadsvjetla izvode se kao fiksna.  Stavka uključuje i prilagodbu doprozornika za prihvat novih protupožarnih krila na unutarnjoj strani.
</t>
  </si>
  <si>
    <t>a) građevinski otvor: 132x198 cm
    svijetli otvor:118x109+56 cm</t>
  </si>
  <si>
    <t>Dvostruki dvodijelni jednokrilni zaokretni prozor s jednokrilnim  zaokretnim  nadsvjetlima i jednokrilnim griljama  prema stolarskoj  shemi P13</t>
  </si>
  <si>
    <t>Pregled i obnova protupožarnog dvostrukog dvodijelnog jednokrilnog zaokretnog prozora s jednokrilnim  zaokretnim  nadsvjetlima i jednokrilnim griljama, EI 60 . Krila, doprozornik i grilje iz crnogorice.</t>
  </si>
  <si>
    <t xml:space="preserve">Stavka uključuje radova na doprozorniku, vanjskom prozorskom krilu sa staklima i klupčica - skidanje naliča, popravak, zamjena dotrajalih dijelova istovjetnim, ličenje mat lakom.
Stavka uključuje radova unutarnjem prozorskom krilu - zamjena postojećih novim protupožarnim (u svemu prema postojećim), aluminijski okvir s drvenom oblogom, prekinutim toplinskim mostom i protupožarnom ispunom  vatrootporno EI60 izo staklo 6+16+4 s argonom i LOW-E zaštitom, distancer u tonu krila, ličenje mat  lakom .
Na oba unutarnja donja krila izvodi se hidraulični zatvarač. Potrebno ugraditi bravu za zaključavanje donjih krila. Krila nadsvjetla izvode se kao fiksna.  Stavka uključuje i prilagodbu doprozornika za prihvat novih protupožarnih krila na unutarnjoj strani.
</t>
  </si>
  <si>
    <t>Završna obrada: krila i dovratnik- hrastov furnir obostrano A klasa, bezbojni mat lak.</t>
  </si>
  <si>
    <t>Krilo svih vrata mora biti podrezano 2 cm, osim vrata između depoa 4 i 5 u prizemlju koja moraju imati automatski spuštajući prag.</t>
  </si>
  <si>
    <t>Unutarnja trodijelna pregrada sa jednokrilnim zaokretnim vratima prema stolarskoj shemi S1</t>
  </si>
  <si>
    <t>Okov: tri spojnice, vertikalna ručka obostrano duljine 60 cm, brava sa leptirom s unutarnje strane, nožice</t>
  </si>
  <si>
    <t>Unutarnja trodijelna pregrada sa jednokrilnim zaokretnim vratima prema stolarskoj shemi S2</t>
  </si>
  <si>
    <t>Izrada, doprema i montaža informacijskog pulta s fiksnim ostakljenjem, obavijesnom pločom i ulaznim vratima. Dijelovi pulta i radne plohe se izvode na potkonstrukciji iz čeličnih profila 30x30 mm. Ulazna vrata iz ustakljene bravarije opisana su u zasebnoj shemi oznake V5.</t>
  </si>
  <si>
    <t xml:space="preserve">UVODNE NAPOMENE </t>
  </si>
  <si>
    <t>Stavaka uključuje izradu, dobavu i ugradnju čeličnih vrata i fiksnih stijena u sistemu č. profila bez prekida toplinskog mosta, ugradbene dubine maks. 50 mm, vidljive širine profila 25 mm - 43 mm 
Pero profila ima širinu maks. 15 mm.
Brtvljenje između krila i okvira je izvedeno u dvije ravnine – pomoću vanjske i unutarnje brtve. Vrata su uvijek u istoj ravnini s okvirom. Ostakljenje je moguće u dvije varijante:
1. ugradnjom poprečnih č.profila širine do 43 mm unutar okvira tako da je svaki okvir podijeljen na određeni broj polja i stakala zadanih dimenzija, ili
2. ugradnjom jednog stakla unutar okvira, podijeljenog na polja zadanih dimenzija  pomoću dekorativnih alu lajsni širine 28 mm, koje se lijepe obostrano na staklo.
Nosive profile je moguće statički pojačati iznutra, dodavanjem č. flahova te izvana, navarivanjem istih na profil s jedne ili druge strane.
Staklo se u profil učvršćuje pomoću aluminijskih i čeličnih stakloletvica s unutarnje strane. Profila, klipsanjem (alu) ili vijačenjem (č.), ovisno o zahtjevu iz projekta.
Profili se isporučuju u sirovom ili vruće pocinčanom stanju. Kvaliteta čelika sirovih profila je S235JR ili jedankovrijedno. Kvaliteta čelika pocinčanih profila je S250GDZ275 ili jednakovrijedno. 
Ovisno o vrsti stakla i praga (npr. automatski spuštajući), moguće je postići zvučnu zaštitu do 44 dB.</t>
  </si>
  <si>
    <t>1.</t>
  </si>
  <si>
    <t>2.</t>
  </si>
  <si>
    <t>OPĆI UVJETI JEDNAKOVRIJEDNOSTI</t>
  </si>
  <si>
    <t>3.</t>
  </si>
  <si>
    <t>4.</t>
  </si>
  <si>
    <t>5.</t>
  </si>
  <si>
    <t>Čelična bravarija</t>
  </si>
  <si>
    <t>Potrebni opšav, elemente ugradnje i sidrenja, plastifikaciju prema odobrenom tonu, tip prema shemi, spojni i pričvrsni materijal uključiti u cijenu. Ugradnja u nosivu konstrukciju u skladu s uputama RAL, uputama proizvođača sistema i radioničkoj dokumentaciji izvođača.
Prije izrade potrebno od strane izvođača radova radioničke nacrte, odgovarajuće uzorke profila, okova i pribora, završne obrade ovjeriti od strane glavnog projektanta, sve uključeno u jediničnu cijenu stavke.</t>
  </si>
  <si>
    <t>Potrebni opšav, elemente ugradnje i sidrenja, spoj na sljemenu sa svim slojevima, plastifikaciju prema odobrenom tonu, tip prema shemi, spojni i pričvrsni materijal uključiti u cijenu. Ugradnja u nosivu konstrukciju u skladu s uputama RAL, uputama proizvođača sistema i radioničkoj dokumentaciji izvođača.
Prije izrade potrebno od strane izvođača radova radioničke nacrte, odgovarajuće uzorke profila, okova i pribora, završne obrade ovjeriti od strane glavnog projektanta, sve uključeno u jediničnu cijenu stavke.</t>
  </si>
  <si>
    <t>Potrebni opšav, elemente ugradnje i sidrenja, plastifikaciju prema odobrenom tonu, tip prema shemi, spojni i pričvrsni materijal uključiti u cijenu.  Ugradnja u nosivu konstrukciju u skladu s uputama proizvođača sistema i radioničkoj dokumentaciji izvođača.
Prije izrade potrebno od strane izvođača radova radioničke nacrte, odgovarajuće uzorke profila, okova i pribora, završne obrade ovjeriti od strane glavnog projektanta, sve uključeno u jediničnu cijenu stavke.</t>
  </si>
  <si>
    <r>
      <t>PROTUPOŽARNA VRATA, EI</t>
    </r>
    <r>
      <rPr>
        <b/>
        <vertAlign val="subscript"/>
        <sz val="10"/>
        <rFont val="Arial"/>
        <family val="2"/>
        <charset val="238"/>
      </rPr>
      <t>2</t>
    </r>
    <r>
      <rPr>
        <b/>
        <sz val="10"/>
        <rFont val="Calibri"/>
        <family val="2"/>
      </rPr>
      <t>30-C-Sm</t>
    </r>
  </si>
  <si>
    <r>
      <t>PROTUPOŽARNA VRATA, EI</t>
    </r>
    <r>
      <rPr>
        <b/>
        <vertAlign val="subscript"/>
        <sz val="12"/>
        <rFont val="Arial"/>
        <family val="2"/>
        <charset val="238"/>
      </rPr>
      <t>2</t>
    </r>
    <r>
      <rPr>
        <b/>
        <sz val="10"/>
        <rFont val="Calibri"/>
        <family val="2"/>
      </rPr>
      <t xml:space="preserve"> 60-C-(Sm)</t>
    </r>
  </si>
  <si>
    <t>2.4.</t>
  </si>
  <si>
    <t>2.5.</t>
  </si>
  <si>
    <t>komad</t>
  </si>
  <si>
    <t>Br.st.</t>
  </si>
  <si>
    <t>Jed. mj.</t>
  </si>
  <si>
    <t>Jed. cijena</t>
  </si>
  <si>
    <t>Ukupno</t>
  </si>
  <si>
    <t>KONZERVATORSKO RESTAURATORSKI RADOVI</t>
  </si>
  <si>
    <t>Arheološki nadzor tijekom radova kojima se zadire u slojeve pod zemljom. Obzirom da se predmetna lokacija nalazi na arheološkom području Gornji grad pri radovima kojima se zadire u slojeve pod zemljom očekuju se arheološki nalazi.</t>
  </si>
  <si>
    <t>paušal</t>
  </si>
  <si>
    <t>zidni oslici i štukodekoracije</t>
  </si>
  <si>
    <t>Restauratorski radovi na dekoracijama pročelja</t>
  </si>
  <si>
    <t>Sastoje se od čišćenja do originalne forme, injektiranja i konsolidiranja pukotina i oštećenja, nadopune dijelova dekoracije koji nedostaju (kiparska rekonstrukcija) završnim (finijim) slojem žbuke prema postojećoj na pročelju (cementna žbuka). Spojeve s postojećom žbukom izvesti jednake debljine uz pažljivo pripasivanje, istih dimenzija i profilacija. Kod većih oštećenja prije rekonstrukcije postaviti bakrenu armaturnu mrežu. Površinu završno zagladiti prema originalu.</t>
  </si>
  <si>
    <t>U slučaju većih oštećenja otkrivenih prilikom ovih radova potrebno je pažljivo ukloniti takve dijelove te izvesti nove, u svemu prema originalu. Potrebno je uzeti mjere na licu mjesta, izraditi šablone, izraditi odljev u restauratorskoj radionici te izvesti pažljivo pripasavanje i retuš spojeva. Uključivo transport i montažu.</t>
  </si>
  <si>
    <t>Stavka uključuje, u svrhu određivanja tehnoloških postupaka i daljnjih konzervatorsko-restauratorskih radova, izradu laboratorijske analize žbuka, veziva i pigmenata te izvedbu probi čišćenja i injektiranja.
Uključivo i izradu fotografske i grafičke dokumentacije svih faza radova te izradu izvještaja.</t>
  </si>
  <si>
    <t xml:space="preserve">Uključivo sav potreban rad, materijal, alat i pribor kao i izradu uzoraka. Rad djelomično na visini, uračunati potrebnu skelu/binu i zaštitnu opremu. Izvesti prema pravilima struke, uputi proizvođača materijala i uputi konzervatorskog nadzora. Mjere provjeriti u naravi. Uključeni svi dodaci za obrate i složenost profilacije u iskazu površine. Obračun po komadu.
</t>
  </si>
  <si>
    <t>a</t>
  </si>
  <si>
    <t>Profilirani okviri s bistama na Z pročelju na Opatičkoj ulici</t>
  </si>
  <si>
    <t>Rubna profilacija vanjskog oblika kvadrata s istaknutim uglovima i radijalno postavljenim zaglavnim elementima u koju je upisan kružni obodni profil sferne niše. Bijeli ton jednak tonu na pročelju.</t>
  </si>
  <si>
    <t>177x177cm, unutarnji radijus 55cm, r.š.45cm</t>
  </si>
  <si>
    <t>b</t>
  </si>
  <si>
    <t>Reljef grba Trojedne kraljevine u zabatu na Z pročelju</t>
  </si>
  <si>
    <t>Centralno postavljen grb na podlozi iz niskog reljefa s lisnatim ukrasima. Bijeli ton jednak tonu na pročelju.</t>
  </si>
  <si>
    <t>233 x 85 cm, površina 1.6m2.</t>
  </si>
  <si>
    <t>c</t>
  </si>
  <si>
    <t>Kanelirani uglovni pilastri i zaglavni kamen portala glavnog ulaza na Z pročelju</t>
  </si>
  <si>
    <t>Pilastar sa po četiri kanelire na tijelu i s po dva florealna ukrasa na kapitelu, na oba lica.
Zaglavni kamen oblika volute s florealnim dekoracijama. Bijeli ton jednak tonu na pročelju.</t>
  </si>
  <si>
    <t>pilastri 34x34x195cm</t>
  </si>
  <si>
    <t>zaglavni kamen 24x37x22cm</t>
  </si>
  <si>
    <t>d</t>
  </si>
  <si>
    <t>Školjka u polukružnoj luneti prozora prizemlja na I pročelju</t>
  </si>
  <si>
    <t>Valovito profilirani reljef oblika školjke u formi polukruga s florealnim ukrasom u centru.  Bež ton jednak tonu na pročelju.</t>
  </si>
  <si>
    <t>vanjski radijus 55cm, unutarnji radijus 9cm, dubina 9cm, površina 0.5m2</t>
  </si>
  <si>
    <t>e</t>
  </si>
  <si>
    <t>Kružni medaljon na razini između 1. i 2. kata na I pročelju</t>
  </si>
  <si>
    <t>Unutar vanjske rubne profilacije centralno smješten reljef motiva lavlje glave. Bež ton jednak tonu na pročelju.</t>
  </si>
  <si>
    <t>radijus 45cm, dubina 10cm, površina 0.15m2</t>
  </si>
  <si>
    <t>f</t>
  </si>
  <si>
    <t>Konzole ispod ograde vanjskih vrata zlatne dvorane na I pročelju</t>
  </si>
  <si>
    <t>Konzole volutnog oblika s dekoracijom motiva akantusa. Bež ton jednak tonu na pročelju.</t>
  </si>
  <si>
    <t>31x44x16cm</t>
  </si>
  <si>
    <t>g</t>
  </si>
  <si>
    <t>Baze pilastara na trijemu na I pročelju</t>
  </si>
  <si>
    <t>Profilirana trostrana baza pilastra. Bež ton jednak tonu na pročelju.</t>
  </si>
  <si>
    <t>100x27x37cm, r.š.55cm</t>
  </si>
  <si>
    <t>Restauratorski radovi na štukodekoracijama interijera</t>
  </si>
  <si>
    <r>
      <t xml:space="preserve">Sastoje se od: učvršćivanje i injektiranja nosioca, čišćenje štukatura do originalne forme, vraćanje sačuvanih dijelova štukatura </t>
    </r>
    <r>
      <rPr>
        <i/>
        <sz val="11"/>
        <rFont val="Calibri"/>
        <family val="2"/>
        <charset val="238"/>
      </rPr>
      <t>in situ,</t>
    </r>
    <r>
      <rPr>
        <sz val="11"/>
        <rFont val="Calibri"/>
        <family val="2"/>
        <charset val="238"/>
      </rPr>
      <t>učvrščivanje štukodekoracija, nadopunu dijelova štukatura koji nedostaju (kiparska rekonstrukcija) štuko masom (vapneni mort omjera 1:3 s dodatkom mramornog brašna) ili industrijskom bezcementnom žbukom na bazi vapna (kod većih oštećenja prije rekonstrukcije postaviti bakrenu armaturnu mrežu), retuš i rekonstrukciju bojanog sloja. Sačuvani i numerirani dijelovi štukatura pohranjeni su kod investitora.</t>
    </r>
  </si>
  <si>
    <t>Eventualne veće pukotine injektirati gotovom industrijskom injekcijskom masom na bazi vapna. Prethodno učiniti probe injektiranja, posebno za utvrđivanje dubine pukotina.</t>
  </si>
  <si>
    <t>U slučaju većih oštećenja otkrivenih prilikom ovih radova potrebno je pažljivo ukloniti takve dijelove te izvesti nove, u svemu prema originalu. Potrebno je uzeti mjere na licu mjesta, izraditi šablone, izraditi gipsani odljev u restauratorskoj radionici te izvesti pažljivo pripasavanje i retuš spojeva. Uključivo transport i montažu.</t>
  </si>
  <si>
    <t>Stavka uključuje, u svrhu određivanja tehnoloških postupaka i daljnjih konzervatorsko-restauratorskih radova, izradu laboratorijske analize žbuka, veziva i pigmenata te izvedbu probi čišćenja.
Uključivo i izradu fotografske i grafičke dokumentacije svih faza radova te izradu izvještaja.</t>
  </si>
  <si>
    <t xml:space="preserve">Uključivo sav potreban rad, materijal, alat i pribor kao i izradu uzoraka. Rad djelomično na visini, uračunati potrebnu skelu/binu i zaštitnu opremu. Izvesti prema pravilima struke, uputi proizvođača materijala i uputi konzervatorskog nadzora. Mjere provjeriti u naravi. Uključeni svi dodaci za obrate i složenost profilacije u iskazu površine. Obračun po kompletu.
</t>
  </si>
  <si>
    <t>Ulazni prostor i centralno stubište</t>
  </si>
  <si>
    <t>Rubna profilacija lučnog otvora zida u formi polukruga s volutnim i lisnatim završecima. Centralno iznad segmentnog lučnog otvora uokviruje spomen ploču s bočnim niskoreljefnim volutnim ukrasima i gornjim vijencem. 
Okvir spomen ploče 140x65cm, dubina 12cm. Profilacija luka l=380cm, r.š.20cm. Bež ton prema postojećem stanju.</t>
  </si>
  <si>
    <t>štukodekoracija zidne spomen ploče</t>
  </si>
  <si>
    <t>kmpl.</t>
  </si>
  <si>
    <t>Stropne grede uzdužno linijski profilirane na donjoj plohi, a krajnje i na bočnoj plohi. 
Oslikane motivom oslika pripadajućeg stropa. Grede (185x33x18cm) 4x</t>
  </si>
  <si>
    <t>štukodekoracija stropnih greda</t>
  </si>
  <si>
    <t>Zlatna dvorana</t>
  </si>
  <si>
    <t>Štukodekoracija zrcalnog svoda sa središnjim nadsvjetlom. Površina je iz uglova nadsvjetla raščlanjena ortogonalnim i dijagonalnim dekoriranim rebrima prema donjem vijencu na kojem završavaju ukrasnim pozlaćenim medaljonima. Uglovna polja u zelenom tonu plohe, bočna polja s po jednom zidnom slikom u crvenom tonu plohe. Svod je zaključen visokodekoriranim vijencem po rubu nadsvjetla. Površina cijelog svoda prekrivena štukodekoracijama raznolikog oblikovanja višebojno oslikanim, pretežno tonom u imitaciji pozlate.</t>
  </si>
  <si>
    <t>tlocrtna površina 88m2, razvijena površina 98.6m2 (četiri oslikana polja nisu odbijana)</t>
  </si>
  <si>
    <t xml:space="preserve">Štukodekoracija zidova: na S, I i J zidu dvorane nalaze se po četiri pilastra s dekoriranim bazama i kapitelima, povezuje ih zidna profilacija u nivou baze, a zaključuje visokodekorirani vijenac po cijelom obodu. Zapadni zid rastvoren je prema galeriji, otvor je naglašen dvama uglovnim pilastrima i s dva centralna stupa s istim oblikovanjem baze i kapitela. Višebojno oslikano, pretežno tonom u imitaciji pozlate.
</t>
  </si>
  <si>
    <r>
      <t>pilastri (40x425cm) 12x, uglovni pilastri (40x40x425cm) 2x, stupovi (</t>
    </r>
    <r>
      <rPr>
        <sz val="11"/>
        <rFont val="Calibri"/>
        <family val="2"/>
      </rPr>
      <t>Ø</t>
    </r>
    <r>
      <rPr>
        <sz val="11"/>
        <rFont val="Calibri"/>
        <family val="2"/>
      </rPr>
      <t>40x425cm) 2x, baze i kapiteli 60x40cm; 
vijenac 40.6m1, h=90cm, r.š.125cm</t>
    </r>
  </si>
  <si>
    <t>Štukodekoracija zidova galerije: na zapadnom zidu galerije su dva pilastra s dekoriranim bazama, tijelima i kapitelima između tri lučna otvora na pročelju. Špalete bočnih otvora iznad visine parapeta su dekorirane u punoj visini. Sve zaključuje vijenac po cijelom obodu galerije.  Višebojno oslikano, pretežno tonom u imitaciji pozlate.</t>
  </si>
  <si>
    <t>pilastri (40x377cm) 2x, niše prozora (2.7m2 u špaleti) 2x, baze i kapiteli 60x40cm; 
vijenac 16.8m1, h=86cm, r.š.110cm</t>
  </si>
  <si>
    <t>S predvorje</t>
  </si>
  <si>
    <t>Štukodekoracije zidova: dva pilastra povezana gredom sa stupom u sredini raspona, stup i pilastri s dekoriranim bazama i kapitelima; obodni vijenac uz oba stropna polja te vijenac u razini ograde/parapeta prozora. Sve višebojno oslikano.</t>
  </si>
  <si>
    <r>
      <t>pilastri (33x322cm) 2x, stup (</t>
    </r>
    <r>
      <rPr>
        <sz val="11"/>
        <rFont val="Calibri"/>
        <family val="2"/>
      </rPr>
      <t>Ø</t>
    </r>
    <r>
      <rPr>
        <sz val="11"/>
        <rFont val="Calibri"/>
        <family val="2"/>
      </rPr>
      <t>33x322cm) 1x, baze i kapiteli 40x30cm, vijenac 18.5m + 16.6m, h=40cm, r.š.70cm, vijenac u razini ograde/parapeta 15.6m1, h=17cm, r.š.25cm</t>
    </r>
  </si>
  <si>
    <t>Štukodekoracija stropovi: rubna profilacija stropnog oslika</t>
  </si>
  <si>
    <t>profilacija 16.9m1, r.š. 15cm</t>
  </si>
  <si>
    <t>J predvorje</t>
  </si>
  <si>
    <r>
      <rPr>
        <sz val="11"/>
        <rFont val="Calibri"/>
        <family val="2"/>
        <charset val="238"/>
      </rPr>
      <t>pilastri (33x327cm) 2x, stup (Ø33x327cm) 1x, baze i kapiteli 40x30cm,</t>
    </r>
    <r>
      <rPr>
        <sz val="11"/>
        <color indexed="10"/>
        <rFont val="Calibri"/>
        <family val="2"/>
      </rPr>
      <t xml:space="preserve"> </t>
    </r>
    <r>
      <rPr>
        <sz val="11"/>
        <rFont val="Calibri"/>
        <family val="2"/>
        <charset val="238"/>
      </rPr>
      <t>vijenac 18.3m + 14.5m, h=40cm, r.š.70cm, vijenac u razini ograde/parapeta 15.6m1, h=17cm, r.š.25cm</t>
    </r>
  </si>
  <si>
    <t>profilacija 16.7m1, r.š. 15cm</t>
  </si>
  <si>
    <t>Restauratorski radovi na zidnim oslicima interijera</t>
  </si>
  <si>
    <t xml:space="preserve">Stavka uključuje učvršćivanje i/ili injektiranje nosioca, žbukanog i slikanog sloja, čišćenje zidnih slika, uklanjanje štetnih soli, reintegraciju žbukanog sloja, reintegraciju većih nedostajućih dijelova slikanog sloja i retuš manjih oštećenja. </t>
  </si>
  <si>
    <t>Stavka uključuje, u svrhu određivanja tehnoloških postupaka i daljnjih konzervatorsko-restauratorskih radova, izradu laboratorijske analize žbuka, veziva i pigmenata, izvedbu probi čišćenja kao i probi učvršćivanja žbuke i pigmentnog sloja.
Uključivo i izradu fotografske i grafičke dokumentacije svih faza radova te izradu izvještaja.</t>
  </si>
  <si>
    <t xml:space="preserve">Uključivo sav potreban rad, materijal, alat i pribor kao i izradu uzoraka. Rad djelomično na visini, uračunati potrebnu skelu/binu i zaštitnu opremu. Izvesti prema pravilima struke, uputi proizvođača materijala i uputi konzervatorskog nadzora. Mjere provjeriti u naravi. Obračun po m2 i kompletu.
</t>
  </si>
  <si>
    <t>Bogati dekorativni oslik, kompozicijom, formom i koloritom srodan oslicima Pompejanske sobe.</t>
  </si>
  <si>
    <t>oslik zidova stubišta</t>
  </si>
  <si>
    <r>
      <t>m</t>
    </r>
    <r>
      <rPr>
        <vertAlign val="superscript"/>
        <sz val="11"/>
        <rFont val="Calibri"/>
        <family val="2"/>
      </rPr>
      <t>2</t>
    </r>
  </si>
  <si>
    <t>oslik stropa ulaznog prostora (707x185cm) i stropnih greda</t>
  </si>
  <si>
    <t>Oslik zidova zlatne dvorane nalazi se na zidnim plohama raspoređenim između pilastara, na svim zidovima dvorane te na južnom zidu galerije. Ploha (crveni ton podloge) je visinski raščlanjena na dvije zone geometrijski oslikanom profilacijom u ravnini baza pilastara 
Donji dio oslika, iznad drvenog sokla, ličen u crnom tonu s linijskim bordurama u imitaciji pozlate. Gornji dio oslika ličen u zelenom tonu s linijskim i vegetabilnim motivima bordura u imitaciji pozlate.</t>
  </si>
  <si>
    <t>oslik zida: zlatna dvorana 80m2, galerija 8.5m2</t>
  </si>
  <si>
    <t>Oslik svoda sastoji se iz četiri svodna polja geometrijskog oblika obrubljena profilacijom, dva veće površine na S (Nastava) i J (Bogoštovlje) strani, dva manje površine na Z (Znanost) i I (Umjetnost) strani.</t>
  </si>
  <si>
    <t>manje polje: tlocrtna površina 2.15m2, razvijena površina 2.5m2, 2kom
veće polje: tlocrtna površina 4.15m2, razvijena površina 4.65m2, 2kom</t>
  </si>
  <si>
    <r>
      <t>Oslik stropa galerije predstavlja na strop učvršćena slika na platnu (</t>
    </r>
    <r>
      <rPr>
        <i/>
        <sz val="11"/>
        <rFont val="Calibri"/>
        <family val="2"/>
        <charset val="238"/>
      </rPr>
      <t>Alegorija</t>
    </r>
    <r>
      <rPr>
        <sz val="11"/>
        <rFont val="Calibri"/>
        <family val="2"/>
      </rPr>
      <t>) s rubnom profilacijom.</t>
    </r>
  </si>
  <si>
    <t>oslik stropa galerije</t>
  </si>
  <si>
    <t xml:space="preserve">Oslik ograda galerije nalazi se na dvije simetrično položene ograde na liniji razlike podnih kote dvorane i galerije. Ograda sa po sedam balustara zaključena oslikanom klupčicom.
</t>
  </si>
  <si>
    <t>ograda (159x21x55cm) 2x, po 7 balustara</t>
  </si>
  <si>
    <t>Pompejanska dvorana</t>
  </si>
  <si>
    <t>Zidovi i strop Pompejanske sobe su u cijelosti oslikani prema predlošcima trećeg i četvrtog
pompejanskog stila. Zidovi su kompozicijski podijeljeni u osnovi na tri pojasa. Prozorske niše nisu oslikane (obložene su drvenom oplatom).</t>
  </si>
  <si>
    <t>oslik zid</t>
  </si>
  <si>
    <t>oslik strop</t>
  </si>
  <si>
    <t>Hegedušićeva dvorana</t>
  </si>
  <si>
    <r>
      <t>Oslikan je južni zid, zidna slika (</t>
    </r>
    <r>
      <rPr>
        <i/>
        <sz val="11"/>
        <rFont val="Calibri"/>
        <family val="2"/>
        <charset val="238"/>
      </rPr>
      <t>Hrvatska renesansa i humanizam</t>
    </r>
    <r>
      <rPr>
        <sz val="11"/>
        <rFont val="Calibri"/>
        <family val="2"/>
      </rPr>
      <t>) 560x267cm</t>
    </r>
  </si>
  <si>
    <t>Bogati dekorativni oslik zapadnog dijela predvorja, kompozicijom, formom i koloritom srodan oslicima Pompejanske sobe. U prozorskim nišama oslikani su parapeti, špalete ne. U istočnom polju stropa nema oslika unutar rubne bordure.</t>
  </si>
  <si>
    <t>oslik strop - zapadno polje</t>
  </si>
  <si>
    <t>oslik strop - istočno polje</t>
  </si>
  <si>
    <t>Restauratorski radovi na rekonstrukciji zidnih i svodnih oslika u interijeru</t>
  </si>
  <si>
    <t>Prezentacija otkrivenih šablonskih oslika na svodovima i zidovima prostora centralnog, sjevernog i južnog hodnika u prizemlju glavnog krila te u prostoru čitaonice 1 (prostorija br. 6 prema Izvještaju).</t>
  </si>
  <si>
    <t>Stavka uključuje prezentaciju najsačuvanijih dijelova šablonskih oslika (opisano u stavci restauratorskih radova na zidnim oslicima interijera) te izvedbu rekonstrukcije nedostajućih dijelova oslika prema izvornome. Rekonstrukcija obuhvaća primjenu tehnike faksimila precrtavanjem šablona i korištenjem ton karti izrađenih prilikom istraživanja.</t>
  </si>
  <si>
    <t>Sve prema: Stručni izvještaj o provedenim konzervatorsko-restauratorskim istraživanjima i preventivnim radovima na zidovima i svodovima u istočnom krilu palače prema ugovoru br. UU22-042; Hrvatski restauratorski zavod, Zagreb, ožujak 2023.</t>
  </si>
  <si>
    <t xml:space="preserve">Uključivo sav potreban rad, materijal, alat i pribor kao i izradu uzoraka. Rad djelomično na visini, uračunati potrebnu skelu/binu i zaštitnu opremu. Izvesti prema pravilima struke, uputi proizvođača materijala i uputi konzervatorskog nadzora. Mjere provjeriti u naravi. Obračun po kompletu.
</t>
  </si>
  <si>
    <t>čitaonica 1, svod P=33m2, zidovi P=67,5m2</t>
  </si>
  <si>
    <t>sjeverni hodnik, svod P=19.1m2, zidovi P=54m2</t>
  </si>
  <si>
    <t>centralni hodnik, svod P=26.8m2, zidovi P=51.5m2</t>
  </si>
  <si>
    <t>južni hodnik, svod P=17.3m2, zidovi P=53m2</t>
  </si>
  <si>
    <t>kamena plastika</t>
  </si>
  <si>
    <t>Izvođenje probi čiščenja kamena različitim metodama. Probe čiščenja uključuju dopremu i upotrebu svih potrebnih alata kojima se izvodi čiščenje. Obračun po broju izvedenih proba.</t>
  </si>
  <si>
    <t>A - Čiščenje kamena mehaničkim putem korištenjem raznih vrsta ručnog alata: skalpela, spatula, dlijeta, četki. Obuhvaća čiščenje dijelova kamena i sljubnica na kojima se zadržavaju razne nečistoće, dijelovima kamene plastike koje su bile obuhvaćene prethodnim intervencijama (neprimjerenim materijalom npr. sivim cementom, premazima boje, korodiranih metalnih elemenata) i na površinama kamenih elemenata na kojima je zamjećeno obraštanje različitim vrstama višeg ili nižeg korova.</t>
  </si>
  <si>
    <t>B - Čiščenje kemijskim putem. Kemijska sredstva u obliku paste nanose se na kamen. Nakon nanošenja paste cijela površina prekriva se i omata plastičnom folijom. Nakon što završi kemijska reakcija između kamenog materijala i paste, pasta se s kamena ispire vodom pod reguliranim tlakom. Ako je potrebno ovaj postupak se uzastopno ponavlja dok površina
kamena ne dobije zadovoljavajući stupanj čistoće. Ovaj postupak izvoditi kao dodatno čišćenje kod nečistoća koje su duboko prodrle u kamen.</t>
  </si>
  <si>
    <t>C - Čišćenje kamene plastike vodom ili vodenom parom pod reguliranim tlakom izvodi se kao dodatno čišćenje nakon mehaničkog i kemijskog čišćenja. Pranje vodom pod kontroliranim tlakom vrši se specijaliziranim strojem – miniwashom s posebnim mlaznicama i pod tlakom od 100, 200 ili više bara koji je reguliran i prilagođen ovisno o tome koji se dio površine kamena čisti.</t>
  </si>
  <si>
    <t>Restauratorski radovi na obnovi kamena. U stavku je uključeno:</t>
  </si>
  <si>
    <t>A) čišćenje kamena i sljubnica te uklanjanje svih oštećenih i sipljivih dijelova mehanički, kemijski i vodom pod pritiskom (čišćenja detaljno opisana u probama koje je potrebno izvesti prije).</t>
  </si>
  <si>
    <t>B) injektiranje i sljepljivanje napuklih dijelova jezgre kamena masom industrijske kamene žbuke s bijelim cementom. Manje pukotine može se zapuniti i dvokomponentnim ljepilom ili epoksidnom smolom. Po potrebi se elementi dodatno učvršćuju trnovima od inoksa u dvokomp. ljepilu.</t>
  </si>
  <si>
    <t>C) izrada i ugradnja armature od nehrđajućeg metala (bakar ili inoks) za domodeliranje kamene plastike. Promjer i dužina šipki po potrebi za određeni nedostajući element.</t>
  </si>
  <si>
    <t>D) domodeliranje nedostajućih formi kamene plastike u umjetnom kamenu na bazi industrijske kamene žbuke, kamenog brašna ili pijeska, akrilata, gašenog vapna i bijelog cementa. Modelirani dijelovi dodatno se obrađuju ručnim alatom i tonski ujednačavaju pigmentima u odgovarajućem otapalu i tako izgledom izjednačuju s originalom površine kamene plastike.</t>
  </si>
  <si>
    <t>E) zapunjavanje sljubnica vezivnim materijalom (veličina agregata do 1/3 širine sljubnica) iz industrijske žbuke na bazi hidratiziranog vapna. Površina sljubnica se dodatno obrađuje zbog ujednačavanja teksture prema originalu. Izvodi se ručnim alatom.</t>
  </si>
  <si>
    <t>F) zaštitu kamene plastike kemijskim sredstvom, višekratnim natapanjem za konsolidaciju i zaštitu kamena</t>
  </si>
  <si>
    <t>Uključivo sav potreban rad, materijal, alat i pribor kao i izradu uzoraka. Rad djelomično na visini, uračunati potrebnu skelu/binu i zaštitnu opremu. Izvesti prema pravilima struke, uputi proizvođača materijala, uputi projektanta i konzervatorskog nadzora. Mjere provjeriti u naravi. Obračun po komadu, m2 i kompletu.</t>
  </si>
  <si>
    <t>Sokl u  Z dvorištu i na Opatičkoj ulici</t>
  </si>
  <si>
    <t>Obloga sokla iz ploča debljine 4 cm (pretpostavka kanfanar).</t>
  </si>
  <si>
    <t>sokl - zapadno dvorište, h=23cm, l=51,6m</t>
  </si>
  <si>
    <t>sokl - Opatička ulica, h=4-153cm, l=13,2m</t>
  </si>
  <si>
    <t>Ograda prema Opatičkoj ulici</t>
  </si>
  <si>
    <t>Kameni elementi ogradnog zida s visoko dekoriranom kovanom ogradom su:</t>
  </si>
  <si>
    <t>stupovi s bazom 42x42x22cm i kapitelom 42x42x36cm, h=245cm, Ø32cm (crni granit), 4kom</t>
  </si>
  <si>
    <t>kapitel (ulazni portal), h=30cm, 90x90cm, 2kom</t>
  </si>
  <si>
    <t>kapitel (spoj s građevinom), h=30cm, 45x90cm, 2kom</t>
  </si>
  <si>
    <t>postament - sokl, h=38-145cm, l=16,5m (bizek), 12.5m2</t>
  </si>
  <si>
    <t>kapa postamenta, profilirani elementi (bizek):</t>
  </si>
  <si>
    <r>
      <t>h=20cm, š=48cm, l=11,85m (elementi l=</t>
    </r>
    <r>
      <rPr>
        <sz val="11"/>
        <rFont val="Century Gothic"/>
        <family val="2"/>
        <charset val="238"/>
      </rPr>
      <t>~</t>
    </r>
    <r>
      <rPr>
        <sz val="11"/>
        <rFont val="Calibri"/>
        <family val="2"/>
      </rPr>
      <t>80cm), razvijena površina 10.5m2</t>
    </r>
  </si>
  <si>
    <t>h=20cm,60x60cm (ispod stupova), 4kom</t>
  </si>
  <si>
    <t>h=20cm,90x90cm (ulazni portal), 2kom</t>
  </si>
  <si>
    <t>h=20cm,45x90cm (spoj s građevinom), 2kom</t>
  </si>
  <si>
    <t>ogradni zid ukupno 19,50x3.4-4.45x0.48-0.95m</t>
  </si>
  <si>
    <t>Biste na Z pročelju na Opatičkoj ulici, u kvadratnim profiliranim nišama. Biste su na postamentima s uklesanim imenima.</t>
  </si>
  <si>
    <t>bista S krilo - Aristotel 40x30x135cm</t>
  </si>
  <si>
    <t>bista J krilo - Platon 40x30x135cm</t>
  </si>
  <si>
    <t>Portal glavnog ulaza na Z pročelju</t>
  </si>
  <si>
    <t>Dijelovi portala od kamena su dvije baze postamenata 60x60cm, h=16cm i dvije baze pilastara h=34cm iznad, s motivom volute i akantusa (bizek). Između navedenog su plohe dvaju postamenata obložene pločama debljine 4cm, h=61cm (pretpostavka repentabor).</t>
  </si>
  <si>
    <t>portal 294x368cm, dubina 40cm</t>
  </si>
  <si>
    <t>Pragovi vanjskih ulaznih vrata na Z  i I pročelju</t>
  </si>
  <si>
    <t>glavni ulaz - unutarnji prag - Z pročelje, 157x29cm</t>
  </si>
  <si>
    <t>sporedni ulazi - Z pročelje, 157x33cm</t>
  </si>
  <si>
    <t>sporedni ulazi - S pročelje, 130x30cm</t>
  </si>
  <si>
    <t>glavni ulaz - I pročelje vanjska vrata, 125x18cm</t>
  </si>
  <si>
    <t>glavni ulaz - I pročelje unutarnja vrata, 195x18cm</t>
  </si>
  <si>
    <t xml:space="preserve">Ograda balkona iznad glavnog ulaza na Z pročelju
</t>
  </si>
  <si>
    <t>Trodjelna ograda balkona ukupne visine 70cm iz kamena bizeka (izuzev ugaonih stupova), prednji dio od devet balustara l=210cm, dva bočna dijela od po četiri balustra l=100cm, profilirano podnožje i poklopnica ograde širine 25cm, baza i kapitel dvaju ugaonih stupova 39x39cm, sve visine 10cm.</t>
  </si>
  <si>
    <t>Trijem na I pročelju</t>
  </si>
  <si>
    <t>Kameni elementi trijema su četiri baze (h=37cm, 96x96cm) i kapitela (h=43cm, 96x96cm) stupova te četiri kapitela pilastara (h=43cm, 96x30cm) (sve bihacit) i podne ploče debljine 6cm površine 11.5m2 (kanfanar).</t>
  </si>
  <si>
    <t>trijem 10x2.75m, h=7.4m</t>
  </si>
  <si>
    <t>h</t>
  </si>
  <si>
    <t>Ograda parapeta vanjskih vrata zlatne dvorane na I pročelju iz sedam balustara i s gornjom profiliranom poklopnicom 28x16cm.</t>
  </si>
  <si>
    <t>ograda 165x77cm, dubina 28cm</t>
  </si>
  <si>
    <t>i</t>
  </si>
  <si>
    <t>Spomen ploča u ulaznom prostoru u prizemlju iz crnog mramora. Ploča s uklesanim pozlaćenim slovima.</t>
  </si>
  <si>
    <t>83x23cm</t>
  </si>
  <si>
    <t>j</t>
  </si>
  <si>
    <t>Centralno stubište - S i J krak s profiliranim prepustom gazišta kamenih stuba (vapnenac)</t>
  </si>
  <si>
    <t>S krak širina kraka 185cm, 23xš32.8cm, 24xv14.8cm, ukupna visina penjanja 355cm, plohe gazišta i čela ukupno 22m2</t>
  </si>
  <si>
    <t>J krak širina kraka 185cm, 23xš33.3cm, 24xv14.7cm, ukupna visina penjanja 353cm, plohe gazišta i čela ukupno 22m2</t>
  </si>
  <si>
    <t>k</t>
  </si>
  <si>
    <t>Ograda s balustradom, bazom stupa i volutom u predvorjima 1. kata.</t>
  </si>
  <si>
    <t>Kameni elementi su ograda iz sedam balustara (bihacit) 225x28x94cm i voluta s ukrasnim elementima 83x25x40cm na postamentu (bizek).</t>
  </si>
  <si>
    <t>S predvorje, 323x28x94cm</t>
  </si>
  <si>
    <t>J predvorje, 324x28x94cm</t>
  </si>
  <si>
    <t>l</t>
  </si>
  <si>
    <t>Baza pilastra u predvorjima 1. kata (bizek)</t>
  </si>
  <si>
    <t>S predvorje, 47x18x17cm</t>
  </si>
  <si>
    <t>J predvorje, 47x17x17cm</t>
  </si>
  <si>
    <t>m</t>
  </si>
  <si>
    <t xml:space="preserve">Oplata S zida galerije zlatne dvorane iz žutog mramora. </t>
  </si>
  <si>
    <t>Sastoji se iz šest ploča i stube u podnožju. Sadrži dva brončana reljefa. Dvije gornje ploče s uklesanim pozlaćenim slovima. Oplata je prema ugrađenom kvadratnom reljefu i rubno profilirana.</t>
  </si>
  <si>
    <t>zidna oplata 235x355cm</t>
  </si>
  <si>
    <t>stuba 230x32x16cm</t>
  </si>
  <si>
    <t>n</t>
  </si>
  <si>
    <t xml:space="preserve">Oplata niše umivaonika u renesansnoj sobi iz ploča crveno smeđeg mramora debljine 2cm. </t>
  </si>
  <si>
    <t xml:space="preserve">Niša je ugrađena u zapadni zid sobe, peterostranog je tlocrta, u donju stranicu ugrađen je bakreni umivaonik, iznad njega na stražnjoj strani je ugrađena metalna dekorirana slavina. Uključiti u stavku demontažu, popravak, sve pripadajuće instalacije i spojeve kao i ponovnu montažu do potpune funkcionalnosti bakrenog umivaonika i slavine. </t>
  </si>
  <si>
    <t>niša umivaonika 53x45x84cm</t>
  </si>
  <si>
    <t>o</t>
  </si>
  <si>
    <t>Balustrada iznad trijema na I pročelju - razina potkrovlja</t>
  </si>
  <si>
    <t>Kameni elementi su balustri u tri niše smještene u nadozidu iznad krovnog vijenca na središnjem polju istočnog pročelja. U niši se nalazi po sedam balustara. U južnoj niši nedostaje jedan balustar, obračunato zasebno.</t>
  </si>
  <si>
    <t>niša l=205cm, h=70cm, dubina 15cm</t>
  </si>
  <si>
    <t xml:space="preserve">Dobava kamenog bloka za izradu nedostajućeg balustra u južnoj niši u razini potkrovlja na istočnom pročelju. Kamen mora biti jednolične boje i strukture te kvalitete u skladu s atestiranim svojstvima (čvrštoća na pritisak u suhom stanju, u vodozasićenom stanju i nakon određenog broja ciklusa zamrzavanja; otpornost na habanje struganjem, upijanje vode, postojanost na mraz i sl.) i mora se obraditi piljenjem u točno određenim veličinama. Obračun po m3.
</t>
  </si>
  <si>
    <t>1kom 15x15x70cm</t>
  </si>
  <si>
    <t>Klesanje faksimila nedostajućeg kamenog elementa balustra (u južnoj niši u razini potkrovlja na istočnom pročelju) i ručna završna obrada prema postojećim elementima te ugradnja u zid od opeke. Stavka uključuje i izradu rupa i ugradnju inoks trnova za povezivanje i ugradnju. Uključivo sav potreban rad, materijal, transport, alat i pribor kao i izradu uzoraka. Rad djelomično na visini, uračunati potrebnu skelu/binu i zaštitnu opremu. Izvesti prema pravilima struke i u dogovoru s konzervatorskim nadzorom. Mjere provjeriti u naravi. Obračun po komadu.</t>
  </si>
  <si>
    <t>balustar 15x15cm, h=70cm</t>
  </si>
  <si>
    <t>drvo</t>
  </si>
  <si>
    <r>
      <t xml:space="preserve">Obnova završne podne obloge zlatne dvorane iz mozaik parketa s obrubom. Elementi složeni u dvije vrste motiva, motiv središta dijagonalno položeni kvadrati 41x41cm, motiv obruba ortogonalno položeni kvadrati 34x34cm. </t>
    </r>
    <r>
      <rPr>
        <sz val="11"/>
        <rFont val="Calibri"/>
        <family val="2"/>
      </rPr>
      <t>Parket je iz hrastovog  i orahovog drva. Stavka uključuje uklanjanje površinskog sloja laka i nečistoće, sanaciju rasušenih spojeva umetanjem letvica ili kitanjem, preslagivanje po potrebi; dobavu materijala, izradu rekonstrukcije pojedinih dotrajalih elemenata iz iste vrste drva prema postojećem uzorku i njihovu ugradnju, retuš rekonstrukcija i zakita kao i brušenje, ujednačavanje tona i trostruko lakiranje cijele površine mat lakom.</t>
    </r>
  </si>
  <si>
    <t xml:space="preserve"> Sve potrebne navedene radove primijeniti i na profiliranom rubnom hrastovom soklu (h=20cm) uz obodne zidove. Uključivo prilagodbu ruba uz podne ventilokonvektore, rubni profil kao i obradu trajnoelastičnog spoja do potpune gotovosti. Uključivo sav potreban rad, materijal, alat i pribor kao i izradu uzoraka. Izvesti prema pravilima struke i u dogovoru s konzervatorskim nadzorom. Mjere provjeriti u naravi. Obračun po m1 i m2.</t>
  </si>
  <si>
    <t xml:space="preserve">popravak procjena 80% </t>
  </si>
  <si>
    <t xml:space="preserve">novi parket procjena 20% </t>
  </si>
  <si>
    <t>brušenje, toniranje i lakiranje</t>
  </si>
  <si>
    <t>sokl</t>
  </si>
  <si>
    <t>m'</t>
  </si>
  <si>
    <r>
      <t xml:space="preserve">Dobava materijala i postava završne podne obloge poda galerije zlatne dvorane iz mozaik parketa s obrubom. Elementi složeni u dvije vrste motiva, sve prema postojećem podu zlatne dvorane. </t>
    </r>
    <r>
      <rPr>
        <sz val="11"/>
        <rFont val="Calibri"/>
        <family val="2"/>
      </rPr>
      <t xml:space="preserve">Parket je iz hrastovog  i orahovog drva. Postava ljepljenjem poliuretanskim elastičnim ljepilom na podlogu iz OSB ploča prema uputi proizvođača. Završna obrada brušenje, ujednačavanje tona i trostruko lakiranje cijele površine mat lakom. Uključivo dobavu, ugradnju na zid i završnu obradu profilirane rubne letvice. Uključivo prilagodbu ruba uz podne ventilokonvektore, rubni profil kao i obradu trajnoelastičnog spoja do potpune gotovosti. Uključivo sav potreban rad, materijal, alat i pribor kao i izradu uzoraka. Izvesti prema pravilima struke i u dogovoru s konzervatorskim nadzorom. Mjere provjeriti u naravi. Obračun po m1 i m2.
</t>
    </r>
  </si>
  <si>
    <t>novi parket</t>
  </si>
  <si>
    <t xml:space="preserve">Obnova završne podne obloge pompejanske dvorane iz mozaik parketa. Elementi složeni u motiv  dijagonalno položenih kvadrata 42x42cm. Parket je iz hrastovog drva. Stavka uključuje uklanjanje površinskog sloja laka i nečistoće, sanaciju rasušenih spojeva umetanjem letvica ili kitanjem, preslagivanje po potrebi; dobavu materijala, izradu rekonstrukcije pojedinih dotrajalih elemenata iz iste vrste drva prema postojećem uzorku i njihovu ugradnju, retuš rekonstrukcija i zakita kao i brušenje, ujednačavanje tona i trostruko lakiranje cijele površine mat lakom. Sve potrebne navedene radove primijeniti i na profiliranoj rubnoj letvici. Uključivo prilagodbu ruba uz podne ventilokonvektore, rubni profil kao i obradu trajnoelastičnog spoja do potpune gotovosti. Uključivo sav potreban rad, materijal, alat i pribor kao i izradu uzoraka. Izvesti prema pravilima struke i u dogovoru s konzervatorskim nadzorom. Mjere provjeriti u naravi. Obračun po m1 i m2.
</t>
  </si>
  <si>
    <t>rubna letvica</t>
  </si>
  <si>
    <t xml:space="preserve">Obnova završne podne obloge hegedušićeve dvorane iz mozaik parketa s obrubom. Elementi složeni u dvije vrste motiva, motiv središta dijagonalno položeni kvadrati 49x49cm, motiv obruba paralelno položene letvice. Parket je iz hrastovog drva. Stavka uključuje uklanjanje površinskog sloja laka i nečistoće, sanaciju rasušenih spojeva umetanjem letvica ili kitanjem, preslagivanje po potrebi; dobavu materijala, izradu rekonstrukcije pojedinih dotrajalih elemenata iz iste vrste drva prema postojećem uzorku i njihovu ugradnju, retuš rekonstrukcija i zakita kao i brušenje, ujednačavanje tona i trostruko lakiranje cijele površine mat lakom. Sve potrebne navedene radove primijeniti i na profiliranoj rubnoj letvici. Uključivo prilagodbu ruba uz podne ventilokonvektore, rubni profil kao i obradu trajnoelastičnog spoja do potpune gotovosti. Uključivo sav potreban rad, materijal, alat i pribor kao i izradu uzoraka. Izvesti prema pravilima struke i u dogovoru s konzervatorskim nadzorom. Mjere provjeriti u naravi. Obračun po m1 i m2.
</t>
  </si>
  <si>
    <t xml:space="preserve">popravak procjena 50% </t>
  </si>
  <si>
    <t xml:space="preserve">novi parket procjena 50% </t>
  </si>
  <si>
    <r>
      <t xml:space="preserve">Obnova završne podne obloge renesansne sobe iz hrastovog parketa (drvo istovjetno zidnim i stropnim oplatama) uzorka riblja kost (element </t>
    </r>
    <r>
      <rPr>
        <sz val="11"/>
        <rFont val="Century Gothic"/>
        <family val="2"/>
        <charset val="238"/>
      </rPr>
      <t>~</t>
    </r>
    <r>
      <rPr>
        <sz val="11"/>
        <rFont val="Calibri"/>
        <family val="2"/>
      </rPr>
      <t xml:space="preserve">50x11.5cm). Stavka uključuje uklanjanje površinskog sloja laka i nečistoće, sanaciju rasušenih spojeva umetanjem letvica ili kitanjem, preslagivanje po potrebi; dobavu materijala, izradu rekonstrukcije pojedinih dotrajalih elemenata iz iste vrste drva prema postojećem uzorku i njihovu ugradnju, retuš rekonstrukcija i zakita kao i brušenje i trostruko lakiranje cijele površine mat lakom. Sve potrebne navedene radove primijeniti i na profiliranoj rubnoj letvici. Uključivo prilagodbu ruba uz podne ventilokonvektore, rubni profil kao i obradu trajnoelastičnog spoja do potpune gotovosti. Uključivo sav potreban rad, materijal, alat i pribor kao i izradu uzoraka. Izvesti prema pravilima struke i u dogovoru s konzervatorskim nadzorom. Mjere provjeriti u naravi. Obračun po m1 i m2.
</t>
    </r>
  </si>
  <si>
    <t>završna obrada - brušenje i lakiranje</t>
  </si>
  <si>
    <t xml:space="preserve">Obnova drvene hrastove oplate zidova i stropa renesansne sobe izvedene sistemom profiliranih okvira i uklada. U zidne obloge su uklopljeni komoda s četiri vrata, vratašca koja zatvaraju umivaonik, polica za knjige, zidni sat, troja dvokrilna vrata s dovratnicima (175x270cm). U stropnu oblogu uklopljen je nosač lustera. Istovjetno su obložene i sve plohe dvije prozorske niše (parapet i špaleta). </t>
  </si>
  <si>
    <t>Stavka uključuje stolarsko učvršćivanje spojeva i profila, zatvaranje popucalih dijelova drva umetanjem tankih letvica i kitanjem, zamjenu vijaka drvenim moždanicima, uklanjanje površinskih nečistoća i premaza, rekonstrukciju nedostajućih dijelova, kitanje oštećenja i obradu, retuš rekonstrukcija i zakita te završnu transparentnu zaštitu drva. Drvo istovjetno izvornom. Uključivo čišćenje, popravak i zamjenu nedostajućih (prema postojećim) ili neprimjerenih dijelova mjedenih okova i kvaka te zaštitu lakom. Uključivo sav potreban rad, materijal, alat i pribor kao i izradu uzoraka. Rad djelomično na visini, uračunati potrebnu skelu/binu i zaštitnu opremu. Izvesti prema pravilima struke i u dogovoru s konzervatorskim nadzorom. Mjere provjeriti u naravi. Obračun po komadu i m2.</t>
  </si>
  <si>
    <t>zidovi (otvori za 5 zidnih slika nisu odbijani)</t>
  </si>
  <si>
    <t>strop</t>
  </si>
  <si>
    <t>niša prozora - sjever, P=4,4m2</t>
  </si>
  <si>
    <t>niša prozora - jug, P=6,4m2</t>
  </si>
  <si>
    <t>Stolarska stavka V1 - glavni ulaz Z pročelje</t>
  </si>
  <si>
    <t>Obnova postojećih vanjskih hrastovih jednostrukih dvokrilnih zaokretnih punih uklađenih vrata s nadsvjetlom. Stavka uključuje uklanjanje površinskih nečistoća i premaza, stolarsko učvršćivanje spojeva, zatvaranje pukotina i oštećenja drva kitanjem i obradom, rekonstrukciju eventualno nedostajućih dijelova, retuš rekonstrukcija i zakita te završnu transparentnu zaštitu drva mat lakom za vanjsku stolariju. Uključivo čišćenje, popravak i zamjenu nedostajućih (prema postojećim) ili neprimjerenih dijelova okova i kvaka te zaštitu lakom.  Uključivo demontažu i ponovnu montažu krila i nadsvjetla. Uključivo zamjenu postojećeg float ostakljenja novim izo staklom, ugradnju brtvi na vratna krila, ugradnju električne panik brave i mehanizma za otvaranje krila po vatrodojavi te automatske pumpe za zatvaranje. Uključivo sav potreban rad, materijal, instalacije, alat i pribor kao i izradu radioničkih nacrta i uzoraka. Izvesti prema pravilima struke, uputi projektanta i konzervatorskog nadzora te prema pripadajućoj shemi i opisu radova. Mjere provjeriti u naravi. Obračun po komadu.</t>
  </si>
  <si>
    <t>V1 - 181x236+72cm</t>
  </si>
  <si>
    <t>Stolarska stavka V5 - zlatna dvorana</t>
  </si>
  <si>
    <r>
      <t>Ob</t>
    </r>
    <r>
      <rPr>
        <sz val="11"/>
        <rFont val="Calibri"/>
        <family val="2"/>
        <charset val="238"/>
      </rPr>
      <t>nova postojećih vanjskih dvostrukih jedn</t>
    </r>
    <r>
      <rPr>
        <sz val="11"/>
        <rFont val="Calibri"/>
        <family val="2"/>
      </rPr>
      <t xml:space="preserve">okrilnih zaokretnih uklađenih ustakljenih vrata. Unutarnje krilo i dovratnik hrast, vanjski crnogorica. Stavka uključuje uklanjanje površinskih nečistoća, premaza i naliča, stolarsko učvršćivanje spojeva, zatvaranje pukotina i oštećenja drva kitanjem i obradom, rekonstrukciju eventualno nedostajućih dijelova, retuš imitacije pozlate, rekonstrukcija i zakita te završnu transparentnu zaštitu drva mat lakom (unutarnja vrata) i ličenje mat lakom u tonu po izboru projektanta (vanjska vrata). Uključivo čišćenje, popravak i zamjenu nedostajućih (prema postojećim) ili neprimjerenih dijelova okova i kvaka te zaštitu lakom.  Uključivo demontažu i ponovnu montažu krila. </t>
    </r>
  </si>
  <si>
    <t>Uključivo zamjenu postojećeg float ostakljenja unutarnjeg krila novim izo staklom i ugradnju brtvi na vratna krila. Uključivo sav potreban rad, materijal, alat i pribor kao i izradu radioničkih nacrta i uzoraka. Izvesti prema pravilima struke, uputi projektanta i konzervatorskog nadzora te prema pripadajućoj shemi i opisu radova. Mjere provjeriti u naravi. Obračun po komadu.</t>
  </si>
  <si>
    <t>V5 - vanjska istočna vrata - 116x315cm</t>
  </si>
  <si>
    <t>Stolarska stavka V6 - zlatna dvorana</t>
  </si>
  <si>
    <t>Obnova postojećih unutarnjih hrastovih jednostrukih dvokrilnih zaokretnih uklađenih punih vrata s uklađenim dovratnikom. Stavka uključuje uklanjanje površinskih nečistoća i premaza, stolarsko učvršćivanje spojeva, zatvaranje pukotina i oštećenja drva kitanjem i obradom, rekonstrukciju eventualno nedostajućih dijelova, retuš imitacije pozlate, rekonstrukcija i zakita te završnu transparentnu zaštitu drva mat lakom. Uključivo čišćenje, popravak i zamjenu nedostajućih (prema postojećim) ili neprimjerenih dijelova okova i kvaka te zaštitu lakom.  Vrata su kompletno demontirana te je potrebno uračunati dobavu i ponovnu montažu dovratnika i krila.</t>
  </si>
  <si>
    <t>Uključivo sav potreban rad, materijal, alat i pribor kao i izradu radioničkih nacrta i uzoraka. Izvesti prema pravilima struke, uputi projektanta i konzervatorskog nadzora te prema pripadajućoj shemi i opisu radova. Mjere provjeriti u naravi. Obračun po komadu.</t>
  </si>
  <si>
    <t>V6 - vrata  prema S i J predvorju - 135x252cm</t>
  </si>
  <si>
    <t>Stolarska stavka V7 - zlatna dvorana</t>
  </si>
  <si>
    <r>
      <t xml:space="preserve">Obnova postojećih unutarnjih hrastovih dvostrukih dvokrilnih zaokretnih uklađenih punih vrata s uklađenim dovratnikom. Stavka uključuje uklanjanje površinskih nečistoća i premaza, stolarsko učvršćivanje spojeva, zatvaranje pukotina i oštećenja drva kitanjem i obradom, rekonstrukciju eventualno nedostajućih dijelova, retuš imitacije pozlate, rekonstrukcija i zakita te završnu transparentnu zaštitu drva mat lakom. </t>
    </r>
    <r>
      <rPr>
        <sz val="11"/>
        <rFont val="Calibri"/>
        <family val="2"/>
      </rPr>
      <t xml:space="preserve">Lica krila i dovratnika prema pompejanskoj sobi su flandrana i linijski kolorirana. Uključivo čišćenje, popravak i zamjenu nedostajućih (prema postojećim) ili neprimjerenih dijelova okova i kvaka te zaštitu lakom.  Uključivo demontažu i ponovnu montažu krila. </t>
    </r>
  </si>
  <si>
    <t>V7 - vrata prema renesansnoj sobi - 134x254cm</t>
  </si>
  <si>
    <t>V7 - vrata prema pompejanskoj sobi - 134x254cm</t>
  </si>
  <si>
    <t>Stolarska stavka V8 - J predvorje</t>
  </si>
  <si>
    <t xml:space="preserve">Obnova postojećih unutarnjih dvostrukih dvokrilnih zaokretnih uklađenih punih vrata s uklađenim dovratnikom. Vrata iz drva crnogorice. Stavka uključuje uklanjanje površinskih nečistoća i premaza, stolarsko učvršćivanje spojeva, zatvaranje pukotina i oštećenja drva kitanjem i obradom, rekonstrukciju eventualno nedostajućih dijelova, retuš rekonstrukcija i zakita te završnu transparentnu zaštitu drva mat lakom. Lica krila i dovratnika su flandrana, a prema pompejanskoj sobi i linijski kolorirana. Uključivo čišćenje, popravak i zamjenu nedostajućih (prema postojećim) ili neprimjerenih dijelova okova i kvaka te zaštitu lakom.  Uključivo demontažu i ponovnu montažu krila. </t>
  </si>
  <si>
    <t>V8 - vrata prema pompejanskoj sobi - 136x253cm</t>
  </si>
  <si>
    <t>Stolarska stavka V9 - pompejanska dvorana</t>
  </si>
  <si>
    <t>Obnova postojećih unutarnjih dvostrukih dvokrilnih zaokretnih uklađenih punih vrata s uklađenim dovratnikom. Vrata iz drva crnogorice. Stavka uključuje uklanjanje površinskih nečistoća i premaza, stolarsko učvršćivanje spojeva, zatvaranje pukotina i oštećenja drva kitanjem i obradom, rekonstrukciju eventualno nedostajućih dijelova, retuš rekonstrukcija i zakita te završnu transparentnu zaštitu drva mat lakom. Lica krila i dovratnika prema pompejanskoj sobi su flandrana i linijski kolorirana. Uključivo čišćenje, popravak i zamjenu nedostajućih (prema postojećim) ili neprimjerenih dijelova okova i kvaka te zaštitu lakom.  Uključivo demontažu i ponovnu montažu krila kao i demontažu pokrovne letve u hegedušićevoj dvorani.</t>
  </si>
  <si>
    <t>Uključivo i izradu, dobavu i montažu novih krila, profilirane pokrovne letve i okova na uklađeni postojeći dovratnik vrata na strani hegedušićeve dvorane, u svemu prema shemi V8 - strana prema predvorju.</t>
  </si>
  <si>
    <t>V9 - vrata prema hegedušićevoj sobi - 135x252cm</t>
  </si>
  <si>
    <t>Stolarska stavka V10 - renesansna soba</t>
  </si>
  <si>
    <t>Obnova postojećih unutarnjih dvostrukih dvokrilnih zaokretnih uklađenih punih vrata s uklađenim dovratnikom. Vrata iz drva crnogorice (strana prema tajništvu) i hrasta (strana prema renesansnoj sobi).  Stavka uključuje uklanjanje površinskih nečistoća, premaza i naliča, stolarsko učvršćivanje spojeva, zatvaranje pukotina i oštećenja drva kitanjem i obradom, rekonstrukciju eventualno nedostajućih dijelova, retuš rekonstrukcija i zakita te završnu transparentnu zaštitu drva mat lakom (renesansna soba) i ličenje mat lakom u tonu po izboru projektanta (tajništvo). Uključivo čišćenje, popravak i zamjenu nedostajućih (prema postojećim) ili neprimjerenih dijelova okova i kvaka te zaštitu lakom.  Uključivo demontažu i ponovnu montažu krila kao i demontažu tapecirunga s krila prema tajništvu.</t>
  </si>
  <si>
    <t>V10 - vrata prema tajništvu - 134x250cm</t>
  </si>
  <si>
    <t>Stolarska stavka V11 - S predvorje</t>
  </si>
  <si>
    <t xml:space="preserve">Obnova postojećih unutarnjih dvostrukih dvokrilnih zaokretnih uklađenih punih vrata s uklađenim dovratnikom. Vrata iz drva crnogorice (strana prema predvorju) i hrasta (strana prema renesansnoj sobi). Stavka uključuje uklanjanje površinskih nečistoća i premaza, stolarsko učvršćivanje spojeva, zatvaranje pukotina i oštećenja drva kitanjem i obradom, rekonstrukciju eventualno nedostajućih dijelova, retuš rekonstrukcija i zakita te završnu transparentnu zaštitu drva mat lakom. Lica krila i dovratnika prema predvorju su flandrana. Uključivo čišćenje, popravak i zamjenu nedostajućih (prema postojećim) ili neprimjerenih dijelova okova i kvaka te zaštitu lakom.  Uključivo demontažu i ponovnu montažu krila. </t>
  </si>
  <si>
    <t>V11 - vrata prema renesansnoj sobi - 134x253cm</t>
  </si>
  <si>
    <t>Rukohvat ograde unutarnjeg J stubišta</t>
  </si>
  <si>
    <t>Obnova postojećih profilirnanih drvenih rukohvata ograde južnog stubišta, presjeka 6x4cm. Stavka uključuje uklanjanje površinskih nečistoća i premaza, zatvaranje pukotina i oštećenja drva kitanjem i obradom, rekonstrukciju eventualno nedostajućih dijelova, retuš rekonstrukcija i zakita te završnu transparentnu zaštitu drva mat lakom, sve prema postojećem stanju. Uključivo sav potreban rad, materijal, alat i pribor kao i izradu uzoraka. Rad djelomično na visini, uračunati potrebnu skelu/binu i zaštitnu opremu. Izvesti prema pravilima struke, uputi projektanta i konzervatorskog nadzora. Mjere provjeriti u naravi. Obračun po m'.</t>
  </si>
  <si>
    <t>Rukohvati vanjskih ograda trijema na I pročelju</t>
  </si>
  <si>
    <t xml:space="preserve">Demontaža, obnova i ponovna montaža postojećih profilirnanih drvenih rukohvata vanjskih ograda trijema, presjeka 6x4cm. Stavka uključuje uklanjanje površinskih nečistoća i premaza, zatvaranje pukotina i oštećenja drva kitanjem i obradom, rekonstrukciju eventualno nedostajućih dijelova, retuš rekonstrukcija i zakita te završnu transparentnu zaštitu drva mat lakom za vanjsku stolariju. Uključivo sav potreban rad, materijal, alat i pribor kao i izradu uzoraka. Izvesti prema pravilima struke, uputi projektanta i konzervatorskog nadzora. Mjere provjeriti u naravi.  Obračun po m'.
</t>
  </si>
  <si>
    <t>rukohvat 3x1,9m</t>
  </si>
  <si>
    <t>kaljeve peći</t>
  </si>
  <si>
    <t>Pažljiva demontaža, obnova i ponovna montaža kaljevih peći u reprezentativnim prostorijama 1. kata. Stavka uključuje obilježavanje demontiranih kaljeva, odstranjivanje naslaga s vanjske i unutrašnje strane mehaničkim i kemijskim putem, spajanje odlomljenih dijelova ljepljenjem, izradu rekonstrukcija, retuš cakline te ponovnu montažu. Za metalne dijelove uključiti mehaničko skidanje nečistoća i korozivnih slojeva, izradu i ugradnju nedostajućih dijelova iz istog materijala te nanošenje zaštitnog premaza. Montažu i izvedbu ispune peći izvesti iz materijala prema postojećem stanju. Uključivo i prilagodbu i popravak postojećeg postamenta za ponovnu montažu. Stavka uključuje i razgradnju svih slojeva unutar peći te zbrinjavanje šute nastale takvom razgradnjom. Uključivo sav potreban rad, materijal, alat i pribor kao i izradu uzoraka. Izvesti prema pravilima struke i u dogovoru s konzervatorskim nadzorom. Mjere provjeriti u naravi. Broj kataloške jedinice (kj) iz: POVIJESNA STUDIJA I IZVJEŠTAJ KONZERVATORSKO – RESTAURATORSKIH     ISTRAŽIVANJA, HRZ, 12/2021. Obračun po kompletu.</t>
  </si>
  <si>
    <t>Prvi kat, ravnateljstvo, JZ ugao, 59x247x50 cm, kj 1</t>
  </si>
  <si>
    <t>Prvi kat, tajništvo, SZ ugao, 80x254x65 cm, kj 2</t>
  </si>
  <si>
    <t>Prvi kat, renesansna soba, JZ ugao, 133x160x118 cm, kj 3</t>
  </si>
  <si>
    <t>Prvi kat, pompejanska dvorana, JZ ugao, 95x297x66 cm, kj 4</t>
  </si>
  <si>
    <t>metal</t>
  </si>
  <si>
    <t xml:space="preserve">Stavka uključuje čišćenje pjeskarenjem, izradu i ugradnju nedostajućih dijelova iz istog materijala, antikorozivnu zaštitu te završnu obradu bojom za metal u tonu po izboru projektanta (uračunati višebojni grb). Uključivo sav okov i sve spojne elemente na obodne konstrukcije. Uključivo sav potreban rad, materijal, alat i pribor kao i izradu uzoraka te istraživanje izvornih tonova koloriranog grba. Rad djelomično na visini, uračunati potrebnu skelu/binu i zaštitnu opremu. Izvesti prema pravilima struke i u dogovoru s projektantom i konzervatorskim nadzorom. Mjere provjeriti u naravi. Obračun po kompletu.
</t>
  </si>
  <si>
    <r>
      <t>RASVJETA NA OPATIČKOJ ULICI
Pažljiva demontaža, obnova i ponovna montaža postojećih kovanih postolja vanjskih rasvjetnih tijela (Ø50, h= 40cm) iz volutnih elemenata, smještenih na zidanim stupovima koji omeđuju vrata ograde prema Opatičkoj ulici. Stavka uključuje čišćenje pjeskarenjem, izradu i ugradnju nedostajućih dijelova iz istog materijala, antikorozivnu zaštitu, završnu obradu bojom za metal u tonu po izboru projektanta, prilagodbu za ugradnju dijelova svjetiljke, ugradnju grla žarulja i pripadajuće elektro instalacije, ugradnju novih žarulja i sjenila po izboru projektanta (opalna kugla Ø</t>
    </r>
    <r>
      <rPr>
        <sz val="11"/>
        <rFont val="Century Gothic"/>
        <family val="2"/>
        <charset val="238"/>
      </rPr>
      <t>~</t>
    </r>
    <r>
      <rPr>
        <sz val="11"/>
        <rFont val="Calibri"/>
        <family val="2"/>
      </rPr>
      <t>30cm) kao i ponovnu montažu do potpune funkcionalnosti rasvjetnog tijela. Osigurati potreban stupanj IP zaštite i odvod kondenzata. Uključivo sve spojne elemente na obodne konstrukcije. Uključivo sav potreban rad, materijal, alat i pribor kao i izradu uzoraka. Rad djelomično na visini, uračunati potrebnu skelu/binu i zaštitnu opremu. Izvesti prema pravilima struke i u dogovoru s projektantom i konzervatorskim nadzorom. Mjere provjeriti u naravi. Obračun po komadu.</t>
    </r>
  </si>
  <si>
    <t xml:space="preserve">OGRADA NA RADIĆEVOJ ULICI
Pažljiva demontaža, obnova i ponovna montaža postojeće vanjske kovane ograde na ogradnom zidu prema Radićevoj ulici. Sastoji se iz osam polja raspoređenih između zidanih stupova, po četiri sa svake strane ulaznog portala. Polje dimenzija 400x120 cm (istaci do visine 170cm). Polje se sastoji iz obodnog okvira iz elemenata kvadratnog presjeka 2x2cm te ispune iz vertikalnih elemenata na razmaku 22 cm i vitičastih elemenata Ø1cm s florealnim ukrasima i volutnim i lisnatim završecima. U sredini raspona ukrućeno je u podlogu kosim elementom s volutnim završecima. Stavka uključuje čišćenje pjeskarenjem, izradu i ugradnju eventualno nedostajućih dijelova iz istog materijala, antikorozivnu zaštitu te završnu obradu bojom za metal u tonu po izboru projektanta. Uključivo i sve spojne elemente na obodne konstrukcije. Uključivo sav potreban rad, materijal, alat i pribor kao i izradu uzoraka. Rad djelomično na visini, uračunati potrebnu skelu/binu i zaštitnu opremu. Izvesti prema pravilima struke i u dogovoru s projektantom i konzervatorskim nadzorom. Mjere provjeriti u naravi. Obračun po komadu.
</t>
  </si>
  <si>
    <t>polje ograde</t>
  </si>
  <si>
    <t>ULAZNA VRATA NA RADIĆEVOJ ULICI
Pažljiva demontaža, obnova i ponovna montaža postojećih vanjskih kovanih ulaznih vrata u portalu na Radićevoj ulici. Dvokrilna vrata s dovratnikom ugrađena u zidani otvor portala dimenzija 165x220cm. Sastoje se iz dovratnika kvadratnog presjeka 3x3cm i dva krila iz okvira presjeka 3x3cm s ispunom iz vertikalnih i kosih elemenata Ø1cm sa volutnim i lisnatim završecima. Stavka uključuje čišćenje pjeskarenjem, izradu i ugradnju eventualno nedostajućih dijelova iz istog materijala, antikorozivnu zaštitu te završnu obradu bojom za metal u tonu po izboru projektanta. Uključivo sav okov i sve spojne elemente na obodne konstrukcije. Ugraditi električnu bravu sa standardnim ključem sa svim pripadajućim elektro instalacijama. Uključivo sav potreban rad, materijal, alat i pribor kao i izradu uzoraka. Izvesti prema pravilima struke i u dogovoru s projektantom i konzervatorskim nadzorom. Mjere provjeriti u naravi. Obračun po komadu.</t>
  </si>
  <si>
    <t>RUKOHVAT
Pažljiva demontaža, obnova i ponovna montaža postojećeg vanjskog kovanog rukohvata uz stube prema portalu na Radićevoj ulici. Duljine 600cm, profilirani rukohvat presjeka  4x1cm završava obostrano volutnim završetkom, a učvrščen je na kameni zid kovanim sidrenim "L" elementima s pokrovnom pločicom. Stavka uključuje čišćenje pjeskarenjem, izradu i ugradnju eventualno nedostajućih dijelova iz istog materijala, antikorozivnu zaštitu te završnu obradu bojom za metal u tonu po izboru projektanta. Uključivo i sve spojne elemente na obodne konstrukcije. Uključivo sav potreban rad, materijal, alat i pribor kao i izradu uzoraka. Izvesti prema pravilima struke i u dogovoru s projektantom i konzervatorskim nadzorom. Mjere provjeriti u naravi. Obračun po komadu.</t>
  </si>
  <si>
    <r>
      <t>OGRADA TERASE
Pažljiva demontaža, obnova i ponovna montaža postojeće vanjske kovane ograde terase u istočnom dvorištu. Dva kraća polja duljine 150 cm okomito spojena na polje duljine 1190 cm, visine 105 cm. Sastoji se iz vertikalnih elemenata kvadratnog presjeka 2.5x2.5cm i dva dvostruka horizontalna elementa presjeka 2x0.4cm koji nose ispunu iz vertikalnih elemenata presjeka 1x1cm na raz</t>
    </r>
    <r>
      <rPr>
        <sz val="11"/>
        <rFont val="Calibri"/>
        <family val="2"/>
        <charset val="238"/>
      </rPr>
      <t>maku 15 cm sa šiljastim završecima</t>
    </r>
    <r>
      <rPr>
        <sz val="11"/>
        <rFont val="Calibri"/>
        <family val="2"/>
      </rPr>
      <t>. Ograda je ukrućena u podlogu s devet kosih elemenata na duljoj stranici. Stavka uključuje čišćenje pjeskarenjem, izradu i ugradnju eventualno nedostajućih dijelova iz istog materijala, antikorozivnu zaštitu te završnu obradu bojom za metal u tonu po izboru projektanta. Uključivo i sve spojne elemente na obodne konstrukcije. Uključivo sav potreban rad, materijal, alat i pribor kao i izradu uzoraka. Rad djelomično na visini, uračunati potrebnu skelu/binu i zaštitnu opremu. Izvesti prema pravilima struke i u dogovoru s projektantom i konzervatorskim nadzorom. Mjere provjeriti u naravi. Obračun po komadu.</t>
    </r>
  </si>
  <si>
    <t>OGRADA TRIJEMA
Pažljiva demontaža, obnova i ponovna montaža postojeće vanjske kovane ograde trijema na istočnom pročelju, duljine 189 cm, visine 78cm. Ugrađena je između baza stupova trijema. Sastoji se iz tri horizontalna i po dva vertikalna elementa presjeka 2x1cm povezanih ispunom iz vitičastih elementa presjeka 2x0.4cm. Drveni rukohvat na vrhu ograde zasebno obračunat. Stavka uključuje čišćenje pjeskarenjem, izradu i ugradnju eventualno nedostajućih dijelova iz istog materijala, antikorozivnu zaštitu te završnu obradu bojom za metal u tonu po izboru projektanta. Uključivo i sve spojne elemente na obodne konstrukcije. Uključivo sav potreban rad, materijal, alat i pribor kao i izradu uzoraka. Rad djelomično na visini, uračunati potrebnu skelu/binu i zaštitnu opremu. Izvesti prema pravilima struke i u dogovoru s projektantom i konzervatorskim nadzorom. Mjere provjeriti u naravi. Obračun po komadu.</t>
  </si>
  <si>
    <t xml:space="preserve">ZAVOJITO STUBIŠTE
Pažljiva demontaža, obnova i ugradnja na poziciju i na način predviđen projektom (2. kat glavnog krila) postojećeg unutarnjeg kovanog zavojitog stubišta u podrumu sjevernog krila. Visina penjanja 410cm, Ø150cm, središnji stup Ø8cm, puno plitko profilirano gazište (kružni isječak d=6mm, š 3-30cm, v 17cm), rukohvat iz plosnog profila 2.5x0.4cm na stiliziranim stupovima  Ø2cm. Stavka uključuje čišćenje pjeskarenjem, izradu i ugradnju eventualno nedostajućih dijelova iz istog materijala, zamjenu pojedinih stupova ograde jednostavnog oblikovanja stiliziranim, antikorozivnu zaštitu te završnu obradu bojom za metal u tonu po izboru projektanta. Uključivo i sve spojne elemente na obodne konstrukcije. Uključivo sav potreban rad, materijal, alat i pribor kao i izradu uzoraka. Rad djelomično na visini, uračunati potrebnu skelu/binu i zaštitnu opremu. Izvesti prema pravilima struke i u dogovoru s projektantom i konzervatorskim nadzorom. Mjere provjeriti u naravi. Obračun po komadu.
</t>
  </si>
  <si>
    <t>LUSTERI
Pažljiva demontaža postojećih lustera iz mesinga (pretpostavka). U predvorjima su lusteri prethodno uklonjeni i pohranjeni na lokaciju po odabiru investitora. Stavka uključuje mehaničko uklanjanje nečistoća, izravnavanje iskrivljenih dijelova, zamjenu dotrajalih i ugradnju eventualno nedostajućih dijelova istovjetnim iz istog materijala, mehaničko poliranje metala, zamjenu grla žarulja i pripadajuće elektro instalacije, ugradnju novih žarulja i sjenila po izboru projektanta (imitacija svijeće) kao i ponovnu montažu do potpune funkcionalnosti rasvjetnog tijela. U pompejanskoj dvorani sve navedeno uključiti i za kristalne dijelove lustera. Uključivo sav potreban rad, materijal, alat, instalacije i pribor. Rad djelomično na visini, uračunati potrebnu skelu/binu i zaštitnu opremu. Izvesti prema pravilima struke i u dogovoru s projektantom i konzervatorskim nadzorom. Mjere provjeriti u naravi.
Obračun po komadu.</t>
  </si>
  <si>
    <t>Prvi kat, ravnateljstvo, Ø80, h= 80cm</t>
  </si>
  <si>
    <t>Prvi kat, tajništvo, Ø90, h= 80cm</t>
  </si>
  <si>
    <t>Prvi kat, renesansna soba, Ø100, h= 100cm</t>
  </si>
  <si>
    <t>Prvi kat, pompejanska dvorana, Ø60, h= 120cm</t>
  </si>
  <si>
    <r>
      <t xml:space="preserve">Prvi kat, hegedušićeva dvorana, </t>
    </r>
    <r>
      <rPr>
        <sz val="11"/>
        <rFont val="Calibri"/>
        <family val="2"/>
        <charset val="238"/>
      </rPr>
      <t>Ø</t>
    </r>
    <r>
      <rPr>
        <sz val="11"/>
        <rFont val="Calibri"/>
        <family val="2"/>
      </rPr>
      <t>80, h= 80cm</t>
    </r>
  </si>
  <si>
    <t>Prvi kat, S predvorje, Ø50, h= 50cm</t>
  </si>
  <si>
    <t>Prvi kat, J predvorje, Ø50, h= 50cm</t>
  </si>
  <si>
    <t>ZIDNA RASVJETA
Pažljiva demontaža postojeće zidne rasvjete u Zlatnoj dvorani iz mesinga (pretpostavka). Stavka uključuje mehaničko uklanjanje nečistoća, izravnavanje iskrivljenih dijelova, zamjenu dotrajalih i ugradnju eventualno nedostajućih dijelova istovjetnim iz istog materijala, mehaničko poliranje metala, po potrebi izvesti pozlatu prema postojećem stanju, zamjenu grla žarulja i pripadajuće elektro instalacije, ugradnju novih žarulja i sjenila po izboru projektanta (imitacija svijeće) kao i ponovnu montažu do potpune funkcionalnosti rasvjetnog tijela. Uključivo sav potreban rad, materijal, alat, instalacije i pribor. Izvesti prema pravilima struke i u dogovoru s projektantom i konzervatorskim nadzorom. Mjere provjeriti u naravi. Obračun po komadu.</t>
  </si>
  <si>
    <t>rasvjetno tijelo montirano na zid, Ø40, h= 70cm</t>
  </si>
  <si>
    <t>rasvjetno tijelo montirano na stup, uključivo obujmice, Ø40, h= 70cm</t>
  </si>
  <si>
    <t>KARNIŠE
Pažljiva demontaža postojećih karniša, prečka kružnog presjeka Ø3cm na dva konzolna zidna nosača, sve iz mesinga (pretpostavka). Stavka uključuje mehaničko uklanjanje nečistoća, zamjenu dotrajalih i ugradnju eventualno nedostajućih dijelova istovjetnim iz istog materijala, mehaničko poliranje metala kao i ponovnu montažu do potpune funkcionalnosti. Uključivo sav potreban rad, materijal, alat i pribor. Rad djelomično na visini, uračunati potrebnu skelu/binu i zaštitnu opremu. Izvesti prema pravilima struke i u dogovoru s projektantom i konzervatorskim nadzorom. Mjere provjeriti u naravi. Obračun po komadu.</t>
  </si>
  <si>
    <t>Prvi kat, renesansna soba, l=195cm</t>
  </si>
  <si>
    <t>Prvi kat, pompejanska dvorana, l=210cm</t>
  </si>
  <si>
    <t>Prvi kat, hegedušićeva dvorana, l=220cm</t>
  </si>
  <si>
    <t>Prvi kat, zlatna dvorana, l=200cm</t>
  </si>
  <si>
    <t>RELJEFI
Pažljiva demontaža, obnova i ponovna montaža na zid ugrađenih brončanih reljefa u Zlatnoj dvorani. Stavka uključuje mehaničko uklanjanje nečistoća i mehaničko poliranje metala. Uključivo sav potreban rad, materijal, alat i pribor. Rad djelomično na visini, uračunati potrebnu skelu/binu i zaštitnu opremu. Izvesti prema pravilima struke i u dogovoru s konzervatorskim nadzorom. Mjere provjeriti u naravi. Obračun po komadu.</t>
  </si>
  <si>
    <t>duboki reljefi iznad vrata prema predvorjima, 200x145cm</t>
  </si>
  <si>
    <t>reljefi iznad vrata prema dvoranama, 235x100cm</t>
  </si>
  <si>
    <t>S zid galerije, pravokutni reljef, 121x127 cm</t>
  </si>
  <si>
    <t>S zid galerije, kružni medaljon, Ø63cm</t>
  </si>
  <si>
    <t>UKUPNO - Konzervatorsko restauratorski radovi</t>
  </si>
  <si>
    <t>Demontaža drvenih, metalnih i staklenih dijelova  elemenata  porte i pulta u prizemlju. Demontaža sa svim  spojnim i pričvrsnim materijalom. Stavka uključuje, vertikalni i horizontalni transport,  utovar i odvoz na deponij.  Izvesti pažljivo kako se ne bi oštetili dijelovi konstrukcije i susjedne plohe koji se ne ruše.</t>
  </si>
  <si>
    <t>Demontaža drvenih elemenata stepenica na 2. katu sa svim potrebnim sa svim elementima i spojnim i pričvrsnim materijalom. Dimenzije stepeništa ( 3x25+4x27 cm) x100 cm. Stavka uključuje, vertikalni i horizontalni transport,  utovar i odvoz na deponij.</t>
  </si>
  <si>
    <t>Demontaža fasadne limarije</t>
  </si>
  <si>
    <t>Demontaža postojeće krovne limarije</t>
  </si>
  <si>
    <t>Zatvaranje otvora u postojećim zidovima nakon pomicanja otvora</t>
  </si>
  <si>
    <t>Snimanje elemenata pročelja</t>
  </si>
  <si>
    <t xml:space="preserve">Snimanje elemenata postojećih pročelja i izrada potrebnih šablona za izvlačenje svih vučenih profila, te uzimanje odljeva svih profila pročelja. Uključivo potrebno prethodno čišćenje elemenata potrebno prije uzimanja otisaka i odljeva.
Stavka uključuje uzimanje otiska vučenih profilacija i to jednog za izvlačnje fine žbuke i jedne za izvlačenje grube žbuke, izradu šablona za izvlačenje profila (i za grubu i finu žbuku), uzimanje otisaka svih profilacija na pročeljima zgrade koje će se izrađivati lijevanjem. </t>
  </si>
  <si>
    <t>Laka fasadna skela na pročelju</t>
  </si>
  <si>
    <t>Prostorna skela</t>
  </si>
  <si>
    <t xml:space="preserve"> Obračun po m3.</t>
  </si>
  <si>
    <t>Obijanje žbuke sa pročelja</t>
  </si>
  <si>
    <t>Obračun po m2 pročelja.</t>
  </si>
  <si>
    <t>Čišćenje sljubnica</t>
  </si>
  <si>
    <t xml:space="preserve">Pažljivo ručno čišćenje i otprašivanje sljubnica opečnih zidova svih pročelja nakon obijanja žbuke te pranje zidova vodom pod pritiskom. Odnosi se na dijelove pročelja gdje je žbuka bila oštećena te je uklonjena. Trebaju se ukloniti svi sipljivi dijelovi, do čvrste građe. Pritisak vode prilagoditi površini koja se pere (učiniti probe prije pranja). Paziti da se dodatno ne ošteti opeka. U stavku je uključen sav potreban pribor, alat i strojevi. Izvesti po uzancama zanata, prema uputama proizvođača i u dogovoru s projektantom. Rad na visini. </t>
  </si>
  <si>
    <t>Vanjski fasadni sustav</t>
  </si>
  <si>
    <t>Pranje svih pročelja</t>
  </si>
  <si>
    <t xml:space="preserve">Pranje svih pročelja vodenom parom pod pritiskom, radi uklanjanja prašine, nečistoća i gljivica s površina koje se ne obijaju. Izvodi se nakon obijanja oštećene žbuke. Pritisak vodene pare treba prilagoditi i u tu svrhu izvesti probe čišćenja. U stavku je uključen sav potreban pribor i aparat za puštanje pare. Izvesti po uputama proizvođača i u dogovoru s projektantom i nadzornim inženjerom. Djelomično rad na visini. </t>
  </si>
  <si>
    <t>Obračun po m2 površine pročelja.</t>
  </si>
  <si>
    <t>Konsolidacija opečnih zidova</t>
  </si>
  <si>
    <t>Pažljiva konsolidacija opečnih zidova i sanacija eventualnih oštećenja opeke vidljivih nakon obijanja žbuke na dijelovima pročelja. Izvodi se pažljivim uklanjanjem oštećene opeke i uzidavanjem zdrave pune opeke istih ili sličnih dimenzija (sačuvati visinu redova). Zamjenjuje se opeka po opeka ili manji dio po manji dio. Opeku uzidavati u vapnenom mortu. U stavku je uključena i konsolidacija istaka u opeci za vijence, profilacije, klupčice prozora i sl. Za vrijeme zidanja zid zaštititi od sunca zbog prebrzog isušivanja. Ne izvoditi na temperaturama ispod 5˚ C. U stavku je uključen sav potreban materijal, alat, pribor i miješalica za mort te spravljanje morta i dobava stare zdrave opeke. Izvesti po uzancama zanata i u dogovoru s projektantom. Djelomično rad na visini.</t>
  </si>
  <si>
    <t>a) lice zida</t>
  </si>
  <si>
    <t>b) istaci</t>
  </si>
  <si>
    <t xml:space="preserve"> Obračun po m2 saniranog lica zida i m1 saniranih istaka na pročelju.</t>
  </si>
  <si>
    <t>Fugiranje sljubnica</t>
  </si>
  <si>
    <t xml:space="preserve">Fugiranje sljubnica opečnih zidova pročelja na površinama gdje je obijena žbuka. Izvodi se nakon čišćenja sljubnica i pranja vodom pod pritiskom. Izvodi se vapnenim mortom i ručnim alatom. Mort treba dobro utisnuti u sljubnice tako da ostane za 2 cm uvučen u odnosu na opeku kako bi nova žbuka bolje prionula uza zid. U stavku je uključen sav potreban materijal, pribor, alat i miješalica za mort te spravljanje morta. Izvesti po uzancama zanata i u dogovoru s projektantom. Djelomično rad na visini. </t>
  </si>
  <si>
    <t>Obračun po m2 zidova od opeke.</t>
  </si>
  <si>
    <t>Žbukanje obijenih dijelova pročelja</t>
  </si>
  <si>
    <t>Obračun po m2 nove žbukane površine.</t>
  </si>
  <si>
    <t>Dobava materijala i žbukanje obijenih mjesta na pročeljima gotovom industrijskom cementnom žbukom, sastavom i slojevima prema postojećoj. Izvodi se u dva sloja, donji je grublji (debljine cca 4cm), a gornji fini (debljine cca 2cm). U stavku je uračunato i grundiranje podloge prije nanošenja donjeg sloja. Žbuka se nanosi na prethodno dobro očišćen, fugiran i navlažen zid od opeke. Fini sloj se završno obrađuje prema teksturi postojeće žbuke. Žbuku debljinom prilagoditi okolnoj postojećoj žbuci, a spojeve stare i nove žbuke po potrebi armirati i obraditi da se na završnoj obradi ne vide razlike. U stavku je uračunat sav potreban materijal, alat, pribor i strojevi te spravljanje morta. Nakon nanošenja žbuka se mora njegovati da se ne presuši (vlaženje i zaklanjanje od sunca). Ne smije se izvoditi na temperaturama ispod 5˚ C. Sve izvesti prema uputama proizvođača, pravilima zanata te u dogovoru s projektantom. Rad na visini.</t>
  </si>
  <si>
    <t>Dobava materijala, spravljanje i izrada grube i fine žbuke na vučenim profilacijama pročelja na mjestima gdje je žbuka obijena. Upotrijebiti žbuku istovrsnu izvornoj u materijalu, strukturi i završnoj obradi (pretpostavka cementna žbuka). U stavku je uračunato i grundiranje podloge prije nanošenja donjeg sloja. Žbuka se nanosi na prethodno dobro očišćen, fugiran i navlažen zid od opeke. Fini sloj se završno obrađuje prema teksturi postojeće žbuke. Žbuku debljinom prilagoditi okolnoj postojećoj žbuci, a spojeve stare i nove žbuke po potrebi armirati i obraditi da se na završnoj obradi ne vide razlike.</t>
  </si>
  <si>
    <t>Žbuka na vučenim profilacijama</t>
  </si>
  <si>
    <t>U stavku je uračunat sav potreban materijal, alat, pribor i strojevi te spravljanje morta. Nakon nanošenja žbuka se mora njegovati da se ne presuši (vlaženje i zaklanjanje od sunca). Ne smije se izvoditi na temperaturama ispod 5˚ C. Sve izvesti prema uputama proizvođača, pravilima zanata te u dogovoru s projektantom. Rad na visini.  Sve profilacije izvoditi sa šablonama koje je prethodno pregledao i odobrio konzervatorski nadzor. Šablone upotrebljavati uz obaveznu postavu vodilica. Na mjestima obrata (u uglovima) profilacija se treba formirati ručno jer tu nije moguće vući šablonu.</t>
  </si>
  <si>
    <t xml:space="preserve">Dobava materijala, spravljanje i izrada grube i fine žbuke rustike na pročeljima na mjestima gdje je žbuka obijena.  Upotrijebiti žbuku istovrsnu izvornoj u materijalu, strukturi i završnoj obradi (pretpostavka cementna žbuka). Rustika u dva motiva: kvadri dimenzija cca 70x25cm, plitke horizontalne trake visine cca 30cm. 
</t>
  </si>
  <si>
    <t>U stavku je uračunato i grundiranje podloge prije nanošenja donjeg sloja. Žbuka se nanosi na prethodno dobro očišćen, fugiran i navlažen zid od opeke. Fini sloj se završno obrađuje prema teksturi postojeće žbuke. Žbuku debljinom prilagoditi okolnoj postojećoj žbuci, a spojeve stare i nove žbuke po potrebi armirati i obraditi da se na završnoj obradi ne vide razlike.</t>
  </si>
  <si>
    <t>rustika - kvadri</t>
  </si>
  <si>
    <t>rustika - horizontalne trake</t>
  </si>
  <si>
    <t>Žbuke rustike na pročeljima</t>
  </si>
  <si>
    <t xml:space="preserve">U stavku je uračunat sav potreban materijal, alat, pribor i strojevi te spravljanje morta. Nakon nanošenja žbuka se mora njegovati da se ne presuši (vlaženje i zaklanjanje od sunca). Ne smije se izvoditi na temperaturama ispod 5˚ C. Sve izvesti prema uputama proizvođača, pravilima zanata te u dogovoru s projektantom. Rad na visini.  Sve profilacije izvoditi sa šablonama koje je prethodno pregledao i odobrio konzervatorski nadzor. Šablone upotrebljavati uz obaveznu postavu vodilica. Na mjestima obrata (u uglovima) profilacija se treba formirati ručno jer tu nije moguće vući šablonu. </t>
  </si>
  <si>
    <t>Obračun po m2 zida s rustikom i m1 razvijene širine profilacije.</t>
  </si>
  <si>
    <t>Prijenos opreme</t>
  </si>
  <si>
    <t>Krov za zaštitu od atmosferilija za male i srednje raspone</t>
  </si>
  <si>
    <t>Stavka uključuje sav potreban spojni i pričvrsni materijal te statički proračun za odabranu konstrukciju.</t>
  </si>
  <si>
    <t>Sve izvesti sukladno uputama proizvođača odabranog sistema.</t>
  </si>
  <si>
    <t xml:space="preserve">Doprema, montaža, demontaža i amortizacija lake fasadne skele od cijevnih profila sa svim potrebnim ukrućenjima, pridržanjima, ogradama, ljestvama i prilazima te polaganjem radnih podova do visine vrha krovnog vijenca objekta, sve prema mjerama Zaštite na radu. 
</t>
  </si>
  <si>
    <t>b) zid debljine 75 cm- zid prizemlja prema susjedu</t>
  </si>
  <si>
    <t>b) zid debljine 130 cm- zid prizemlja prema susjedu</t>
  </si>
  <si>
    <t>a) zid debljine do 20 cm- zid prizemlja prema susjedu</t>
  </si>
  <si>
    <t>c) zid debljine  30-50  cm- vanjski zid prizemlja</t>
  </si>
  <si>
    <t>e) zid debljine 50-70 cm  vanjski zid prizemlja</t>
  </si>
  <si>
    <t>f) zid debljine 70-90 cm- vanjski zid prizemlja</t>
  </si>
  <si>
    <t>f) zid debljine 90-100 cm- vanjski zid prizemlja</t>
  </si>
  <si>
    <t>g) unutranji zid debljine do 20 cm</t>
  </si>
  <si>
    <t>g) unutranji zid debljine 30-50  cm</t>
  </si>
  <si>
    <t>g) unutranji zid debljine 50-70  cm</t>
  </si>
  <si>
    <t>g) unutranji zid debljine 70-90  cm</t>
  </si>
  <si>
    <t>Paropropusna žbuka na unutarnjim zidovima prizemlja  ( nova pozicija sanacije kapilarne vlage)</t>
  </si>
  <si>
    <t>Fina žbuka na unutarnjim zidovima prizemlja ( nova pozicija sanacije kapilarne vlage)</t>
  </si>
  <si>
    <t xml:space="preserve">Dobava materijala i završna obrada zidova završnom disperzivnom bojom za unutarnje radove i sve potrebne prethodne radnje i pripreme podloge. Radna skela uključena u cijenu. </t>
  </si>
  <si>
    <t>Prije izvedbe svih završnih obrada izvođač je dužan dostaviti uzorak na potvrdu projektantu i nadzornom inženjeru. Izrada uzorka uljučena u cijenu.</t>
  </si>
  <si>
    <t>Dodatna obrada gipskartonskih zidova do kvalitete K4</t>
  </si>
  <si>
    <t>Dobava, doprema materijala i dodatno višestruko tankoslojno  punoplošno gletanje GK zidova do kvalitete K4.  Stavka uključuje sve potrebne prethodne radnje i pripreme podloge. Radna skela uključena u cijenu.</t>
  </si>
  <si>
    <t>Sjenilo i sa okov izveden u RAL 9016.</t>
  </si>
  <si>
    <t>Obračun po komadu sjenila.</t>
  </si>
  <si>
    <t>Obračun po komadu rešetke.</t>
  </si>
  <si>
    <t>a) sjeverno i južno krilo-( prizemlje, 1. i 2.kat)- dimnezije cca 120x250 cm</t>
  </si>
  <si>
    <t>b) sjeverno i južno krilo-( prizemlje, 1. i 2.kat)- dimnezije cca 150x250 cm</t>
  </si>
  <si>
    <t>c) glavno krilo ( 2. kat istočno pročelje)- dimenzije cca 140x250 cm</t>
  </si>
  <si>
    <t>Sjenilo za svjetlik iznad zlatne dvorane i stijene iznad njega</t>
  </si>
  <si>
    <t>Dobava, doprema i ugradnja sjenila za svjetlik iznad zlatne dvorane i krovne staklene stijene iznad njega, sve na pozicijama prema projektnoj dokumentaciji. Stavka uključuje i izradu ojačanja u stropu za ovjes sjenila.</t>
  </si>
  <si>
    <t>Dobava, doprema i ugradnja sjenila u spušteni strop na pozicijama prema projektnoj dokumentaciji. Stavka uključuje i izradu ojačanja u stropu za ovjes sjenila.</t>
  </si>
  <si>
    <t>Električno sjenilo u špaleti/ slojevima poda sa skrivenim vodilicama i elektromotorom.</t>
  </si>
  <si>
    <t>Platno ne propušta svjetlost na način da se postiže zasjenjenje, a ne potpuno zamračenje. Upravljanje sjenilom na ručni pogon.</t>
  </si>
  <si>
    <t xml:space="preserve">Stavka uključuje sve instalacije i spoj </t>
  </si>
  <si>
    <t>Potrebni opšav, elemente ugradnje i sidrenja, plastifikaciju prema odobrenom tonu, tip prema shemi, spojni i pričvrsni materijal uključiti u cijenu. Ugradnja u nosivu konstrukciju, uputama proizvođača sistema i radioničkoj dokumentaciji izvođača.
Prije izrade potrebno od strane izvođača radova radioničke nacrte, odgovarajuće uzorke profila, okova i pribora, završne obrade ovjeriti od strane glavnog projektanta, sve uključeno u jediničnu cijenu stavke.</t>
  </si>
  <si>
    <t>Potrebni opšav, elemente ugradnje i sidrenja, plastifikaciju prema odobrenom tonu, tip prema shemi, spojni i pričvrsni materijal uključiti u cijenu. Ugradnja u nosivu konstrukciju , uputama proizvođača sistema i radioničkoj dokumentaciji izvođača.
Prije izrade potrebno od strane izvođača radova radioničke nacrte, odgovarajuće uzorke profila, okova i pribora, završne obrade ovjeriti od strane glavnog projektanta, sve uključeno u jediničnu cijenu stavke.</t>
  </si>
  <si>
    <t>Pregled i popravak unutarnjih  jednokrilnih zaokretnih vrata protupožarnih  punih vrata u klasi EI2 60-C, u sistemu čeličnih profila ugradbene dubine 80 mm, krilo pocinčani čelični lim s protupožarnom ispunom, u svemu prema shemi.
Vrata sadrže standardan okov, cilindar brava, kvaka, hidraulički zatvarač HRN EN 1154 ili jednakovrijedno, 3 panta, automatski prag bez barijere. Stavka uključuje zamjenu dotrajalih dijelova i brtvi istovjetnim, brtvljenje, čišćenje, brušenje i ponovno ličenje mat lakom u tonu po izboru projektanta. Stavka uključuje demontažu i ponovnu montažu nakon popravka te sav potreban horizontalni i vertikalni transport ukoliko se  radovi popravka odvijanju na mjestu različitom od mjesta ugradnje.</t>
  </si>
  <si>
    <t>Sjenilo iznad svjetlika izvesti kao dvodjelno, dva roloa na nasuprotnim stranama (zapadni i istočni obod svjetlika) razvijenih tlocrtnih dimenzija cca 2 x (300x250cm), a krovne stijene iznad svjetlika imaju dva roloa, zapadni razvijene dimenzije cca 370x160cm i istočni cca 370x320cm.</t>
  </si>
  <si>
    <t>Potrebni opšavi, brtvljenja, elemente ugradnje i sidrenja, obrade, spojni i pričvrsni materijal uključiti u cijenu.
Prije izrade potrebno od strane izvođača radova radioničke nacrte, odgovarajuće uzorke profila, okova,materijala i pribora, završne obrade ovjeriti od strane glavnog projektanta, sve uključeno u jediničnu cijenu stavke.</t>
  </si>
  <si>
    <t>Potrebni opšav, brtvljenja,  elemente ugradnje i sidrenja, obrade, spojni i pričvrsni materijal uključiti u cijenu.
Prije izrade potrebno od strane izvođača radova radioničke nacrte, odgovarajuće uzorke profila, okova,materijala i pribora, završne obrade ovjeriti od strane glavnog projektanta, sve uključeno u jediničnu cijenu stavke.</t>
  </si>
  <si>
    <t>b) svjetlik iznad južnog stubitšta</t>
  </si>
  <si>
    <t>Svjetlik iznad zlatne dvorane i svjetlika južnog stubišta</t>
  </si>
  <si>
    <t>Središnji svjetlik dimenzije stakla cca 60x60cm, 40 komada.
Svjetlik iznad južnog stubišta dimenzije stakla cca 60x60cm, 16 komada.
Izvodi se satinirano staklo.</t>
  </si>
  <si>
    <t>Oznake</t>
  </si>
  <si>
    <t>Oznake prostorija</t>
  </si>
  <si>
    <t>Prije izrade potrebno od strane izvođača radova radioničke nacrte, odgovarajuće uzorke profila i završne obrade ovjeriti od strane glavnog projektanta, sve uključeno u jediničnu cijenu stavke.</t>
  </si>
  <si>
    <t>U cijenu uključeno bandažiranje i gletanje spojeva  i priprema za izvedbu fasaderskih  radova.</t>
  </si>
  <si>
    <t>Završna obrada zidova disperzivnom bojom iznad keramičkih pločica u sanitarijama</t>
  </si>
  <si>
    <t xml:space="preserve">Dobava materijala i završna obrada zidova završnom disperzivnom bojom za unutarnje radove i sve potrebne prethodne radnje i pripreme podloge. Boja se izvodi u visini iznad keramike koja je postavljena na visinu 210 cm do visine spuštenog stropa. Radna skela uključena u cijenu. </t>
  </si>
  <si>
    <t>U stavku uključena i dobava i postava vune debljine 27 cm te parne brane.</t>
  </si>
  <si>
    <t>Oznaka sloja: PT6.</t>
  </si>
  <si>
    <r>
      <t xml:space="preserve">a) visina spuštanja </t>
    </r>
    <r>
      <rPr>
        <sz val="10"/>
        <rFont val="Calibri"/>
        <family val="2"/>
      </rPr>
      <t>~0-225 cm (do sljemena krova)</t>
    </r>
  </si>
  <si>
    <t>Obračun po m2 stropa.</t>
  </si>
  <si>
    <t>Hodna staza</t>
  </si>
  <si>
    <t xml:space="preserve"> Obračun po m2.</t>
  </si>
  <si>
    <t>a) OSB ploča 2,2 cm</t>
  </si>
  <si>
    <t>b) trapezni lim T50</t>
  </si>
  <si>
    <t>Hidroizolacija ravnog krova iznad vanjskog prostora</t>
  </si>
  <si>
    <t>Izravnavanje postojeće betonske ploče</t>
  </si>
  <si>
    <t>Oznaka sloja: KV.</t>
  </si>
  <si>
    <t xml:space="preserve">Priprema podloge pranjem (ručno ili strojno) pod određenim pritiskom u svrhu uklanjanja slabovezanih dijelova i nečistoća. Odvoz šute na lokalni deponij obračunat posebno. Dobava i ugradnja jednokomponentnog polimer-cementnog morta u debljini slojeva 6mm do 50mm. Karakteristike morta:
- klasa R4 (EN 1504-3 ili jednakovrijedan)                                
- principi 3, 4 i 7 (EN 1504-9 ili jednakovrijedan)                                                                 
- maksimalno zrno agregata: min. 2,0 mm                                    
- specfična gustoća mort: min. 2,1 kg/L                                                                         
- tlačna čvrstoća: min. 55 MPa (EN 12190 ili jednakovrijedan)                                                                            
- tlačni modul elastičnosti: min. 20 MPa (EN 13412 ili jednakovriejdan)                                                                         
- vlačna čvrstoća pri savijanju: min. 8 MPa (EN 12190 ili jednakovrijedan)                                                                           
- prionjivost na podlogu: min. 2 MPa (EN 1542 ili jednakovrijedan)                                                                             
- koeficijent termičkog širenja: min. 10.5 x 10-6 1/K (EN 1770 ili jednakovrijedan)                                                                                                                   - skupljanje. maks. 500 μm/m (EN 12617-4 ili jednakovrijedan)                   </t>
  </si>
  <si>
    <t>Hidroizolacijski elastomerni alifatski poliuretanski premaz</t>
  </si>
  <si>
    <t xml:space="preserve">Dobava i postava sustava jednokomponentnog elastomernog alifatskog poliuretanskog UV stabilnog hidroizolacijskog premaza, potrošnja min. 2.6 kg/m2. 
Karakteristike smole: 
klase min. W2/W3-M/S-P4-S1/S4-TL3-TH4 (prema ETAG 005-8 ili jednakovrijedna _________ , klase Bkrov(t1) (EN13501- 1 ili jednakovrijedan ___________ ), gustoća : min. 1.26 kg/L, udio suhe tvari (težinski): min. 77%, vlačno izduženje (armirano) : min. 450%, vlačna čvrstoća (armirano): min. 13 MPa, čvrstoća na kidanje : min. 26 N/mm2, otpornost na temperature : -20˘C do +80°C. Podloga obrađena sa temeljnim premazom što je uključeno u cijenu stavke. Sustav se punopločno armira sa staklenim voalom min. 225 g/m2. Na radnim spojevima uključena samoljepljiva razdvajajuća traka, korištenje adekvatnih temeljnih premaza, armiranje sa staklenim ili poliamidnim ili poliesterskim pletivom. Svi proizvodi moraju biti u sustavu istog proizvođača materijala. Obračun po m2 obrađene površine.               </t>
  </si>
  <si>
    <t>U jedinične cijene treba uključiti sav rad i materijal (brtveni, spojni i sl.) za izvedbu do potpune gotovosti izolacije.</t>
  </si>
  <si>
    <t>Hidroizolacijski hibridni poliuretanski premaz</t>
  </si>
  <si>
    <t>Dobava i nanošenje završnog sloja specijalnog hibridnog poliuretanskog premaza, velike otpornosti na UV zrake, u 2 sloja, svaki sloj potrošnja 0.3 kg/m2. Prvi sloj premaza se posipava sa kvarcnim pijeskom gran ulacije 0,7-1,2mm.</t>
  </si>
  <si>
    <t>Karakteristike završnog hibridnog poliuretanskog premaza:
- vlačna čvrstoća: min. 10 MPa pri +23 °C, min. 20 MPa pri -20°C (EN ISO 527-3 ili jednakovrijedan), izduženje pri slomu min. 100 % pri +23 °C, min. 20 % pri -20 °C (EN ISO 527-3 ili jednakovrijedan), ponašanje u požaru:  Broof T1 / Broof T4 (prEN 1187 ili jednakovrijedan), početni indeks solarne refleksije: 0,88 i SRI min. 112 (ASTM C1549 ili jednakovrijedan).</t>
  </si>
  <si>
    <t>Obrada spojeva ravnog krova sa rešetkama</t>
  </si>
  <si>
    <t>Dobava i čišćenje metalnih stopica rešetki sa prednamazom na bazi otapala za neupojne podloge. Bezbojni promotor prionjivosti na bazi otapala, koji reagira s vlagom iz zraka te na podlozi ostavlja aktivne sastojke. Pokrivanje 20 ml/m2.</t>
  </si>
  <si>
    <t>Premazivanje temeljnim premazom - dvokomponentni, antikorozivni primer za izložene metalne podloge. Dvokomponentni, tvrdi prednamaz na bazi otapala i derivate amonijaka.</t>
  </si>
  <si>
    <t>Dobava i ugradnja specijalnog dilatacijskog samoljepljivog elementa. Samoljepljiva polimerna gumirana traka sa poliesterskom površinom.  Povećava čvrstoću i izdržljivost krovnih hidroizolacijskih membrana na spojevima i promjenama kuta.</t>
  </si>
  <si>
    <t>Obračun po m1 obrade spoja krova i rešetki.</t>
  </si>
  <si>
    <t>U stavku uključena i dobava i postava mineralne vune između rogova debljine 16 cm te parne brane.</t>
  </si>
  <si>
    <t>Oznaka sloja: KN.</t>
  </si>
  <si>
    <t>a) strop ispod kosog krova</t>
  </si>
  <si>
    <t>Spušteni strop od protupožarnih gipskartonskih ploča</t>
  </si>
  <si>
    <t>Izrada spuštenog stropa od dvostrukih protupožarnih gips-kartonskih ploča, debljine 2x12,5 mm,  na tipskoj čeličnoj podkonstrukciji od nosive i montažne podkonstrukcije iz pocinčanih čeličnih profila koja se ovjesnim elementima učvršćuje na nosivu krovnu konstrukciju. 
U cijenu uključeno bandažiranje i gletanje spojeva  i priprema za izvedbu soboslikarskih radova. Stavka obuhvaća nabavu svog potrebnog materijala, dovoz te sav potreban rad ljudi i strojeva i korištenje radnih skela.</t>
  </si>
  <si>
    <t>U stavku uključena i dobava i postava mineralne vune između rogova debljine 27 cm te parne brane.</t>
  </si>
  <si>
    <t>Oznaka sloja: KG1a.</t>
  </si>
  <si>
    <t>Oznaka sloja: KG1, KG2.</t>
  </si>
  <si>
    <t>KROVOPOKRIVAČKI RADOVI</t>
  </si>
  <si>
    <t xml:space="preserve">Obračun po m2 stvarne površine gotovog krova (mjereno po kosini). </t>
  </si>
  <si>
    <t>- elementi pokrova</t>
  </si>
  <si>
    <t>snjegobrani</t>
  </si>
  <si>
    <t>sljemenjaci (uključivo sljemeno grebena traka i sljemeni odzračnici)</t>
  </si>
  <si>
    <t>odzračnici</t>
  </si>
  <si>
    <t>KROVOPOKRIVAČKI RADOVI UKUPNO</t>
  </si>
  <si>
    <t>Pokrivanje krova dvostrukim biber crijepom</t>
  </si>
  <si>
    <t>Oznaka sloja: KG1, KG1a.</t>
  </si>
  <si>
    <t>A.1.9.</t>
  </si>
  <si>
    <t>DRVENO KROVIŠTE</t>
  </si>
  <si>
    <t>Obračun po m2 razvijene plohe krovišta</t>
  </si>
  <si>
    <t>DRVENO KROVIŠTE UKUPNO</t>
  </si>
  <si>
    <t>Krovna folija</t>
  </si>
  <si>
    <t xml:space="preserve">Ostali slojevi drvene krovne konstrukcije obračunati u zasebnim stavkama.
</t>
  </si>
  <si>
    <t>Oznaka sloja: KN, KG1, KG1a, KG2.</t>
  </si>
  <si>
    <t>Pokrivanje krova falcanim bakrenim limom</t>
  </si>
  <si>
    <t>a) bakreni lim</t>
  </si>
  <si>
    <t>b) paropropusna vodonepropusna folija</t>
  </si>
  <si>
    <t>U cijenu stavke uključiti i sve potrbene rubne opšave kao i spojne limove do potpune gotovosti.</t>
  </si>
  <si>
    <t>Terazzo</t>
  </si>
  <si>
    <t>Terazzo podovi</t>
  </si>
  <si>
    <t>Stavka uključuje i priprema podloge za izvedbu terazzo poda. U cijenu pripreme podloge uključeno je:
- strojno brušenje estriha, odstranjivanje zaostalih materijala, čišćenje i usisavanje podloge
- nanošenje primera za masu i niveliranje podloge.</t>
  </si>
  <si>
    <t>Stavka uključuje i izvedbu obrade spoja poda i zida izvedbom sokla visine 10 cm.</t>
  </si>
  <si>
    <t>Stavka uključuje i izvedbu bordure, širine 20 cm uz sve obodne zidove.</t>
  </si>
  <si>
    <t>c) bordura</t>
  </si>
  <si>
    <t>d) sokl</t>
  </si>
  <si>
    <t>Odabir agregata i pigmenta prema uzorku po izboru Projektanta i uz odobrenje konzervatora.</t>
  </si>
  <si>
    <t>Obračun po m2 pripreme i obrade poda i m1 bordure i sokla.</t>
  </si>
  <si>
    <t>Stavka uključuje, vertikalni i horizontalni transport,  utovar i odvoz na deponij. Izvesti pažljivo kako se ne bi oštetili dijelovi konstrukcije i susjedne plohe koji se ne ruše.</t>
  </si>
  <si>
    <t>k) dvokrilna vrta _ 2 kat</t>
  </si>
  <si>
    <t>a) jednokrilna vrata_prizemlje</t>
  </si>
  <si>
    <t xml:space="preserve">Stavaka se može izvoditi segmentno ili u cijelosti sukladno tehnologiji izvedbe radova koja je odabrana od izvođača i ovjerenom terminskom planu. </t>
  </si>
  <si>
    <t>Izrada projekata izvedenog stanja</t>
  </si>
  <si>
    <r>
      <t xml:space="preserve">Izrada projekata izvedenog stanja svih dijelova građevine izrađen od strane ovlaštenog inženjera ili arhitekta. Projekt se izrađuje i predaje u 3 primjerka otisnuta na papiru i jednom digitalnom primjerku u formatima </t>
    </r>
    <r>
      <rPr>
        <sz val="10"/>
        <rFont val="Calibri"/>
        <family val="2"/>
      </rPr>
      <t>*</t>
    </r>
    <r>
      <rPr>
        <sz val="10"/>
        <rFont val="Calibri"/>
        <family val="2"/>
        <scheme val="minor"/>
      </rPr>
      <t>.dwg, *.doc. i *.xlx.  Svi projekti opremljeni sukladno važećoj zakonskoj regulativi.</t>
    </r>
  </si>
  <si>
    <t>a) projekt izvedenog stanja- arhitektura</t>
  </si>
  <si>
    <t>b) projekt izvedenog stanja- konstrukcija</t>
  </si>
  <si>
    <t>c) projekt izvedenog stanja- elektroinstalacije</t>
  </si>
  <si>
    <t>d) projekt izvedenog stanja- strojarske instalacije</t>
  </si>
  <si>
    <t>e) projekt izvedenog stanja- vodovod i odvodnja</t>
  </si>
  <si>
    <t>f) projekt izvedenog stanja- stabilni sustavi za gašenje požara</t>
  </si>
  <si>
    <t>Zidna obloga od GK ploča na zidovima 2. kata</t>
  </si>
  <si>
    <t>Dobava, dostava i izrada obloge zida od dvostrukih gipskartonskih ploča na zidovima, tj. obloženim čeličnim rešetkama za potrebe provođenja instalacija bez potrebe za izvedbu prodora u požarnoj oblozi.
Sastav obloge je:</t>
  </si>
  <si>
    <t>b) metalna potkonstrukcija UW/CW 50 mm sa zračnim prostorom prema projektu</t>
  </si>
  <si>
    <t>Drvene oplate</t>
  </si>
  <si>
    <t>Popravak i  ličenje  drvene oplate špaleta i parapeta u nišama Pompejanske dvorane. Drvena oplata izvedena od crnogorice.</t>
  </si>
  <si>
    <t xml:space="preserve">Oplate su izvedene sistemom profiliranih okvira i uklada. </t>
  </si>
  <si>
    <t>Drvena oplata niša prozora u Pompejanskoj dvorani</t>
  </si>
  <si>
    <t>Obloga stepenica</t>
  </si>
  <si>
    <t>Popravak i  ličenje drvene obloge stepenica prema galeriji u zlatnoj dvorani. Stepenice su širine 155 cm. Obloga se sastoji od oplate nagaznih ploha i čeonih ploha, drvo hrast.</t>
  </si>
  <si>
    <t xml:space="preserve">Stavka uključuje stolarsko učvršćivanje spojeva i profila, zatvaranje popucalih dijelova drva umetanjem tankih letvica i kitanjem, zamjenu vijaka drvenim moždanicima, uklanjanje površinskih nečistoća i premaza, rekonstrukciju nedostajućih dijelova, kitanje oštećenja i obradu, retuš rekonstrukcija i zakita te završnu transparentnu zaštitu drva. Drvo istovjetno izvornom. Uključivo čišćenje, popravak i zamjenu nedostajućih (prema postojećim) ili neprimjerenih dijelova mjedenih okova i kvaka te zaštitu lakom. Uključivo sav potreban rad, materijal, alat i pribor kao i izradu uzoraka. Rad djelomično na visini, uračunati potrebnu skelu/binu i zaštitnu opremu. Mjere provjeriti u naravi. </t>
  </si>
  <si>
    <t xml:space="preserve">Stavka uključuje stolarsko učvršćivanje spojeva i profila, zatvaranje popucalih dijelova drva, uklanjanje površinskih nečistoća i premaza, rekonstrukciju nedostajućih dijelova, kitanje oštećenja i obradu te završnu obradu i zaštitu drva. Drvo istovjetno izvornom. Uključivo čišćenje, popravak i zamjenu nedostajućih (prema postojećim) ili neprimjerenih dijelova te zaštitu lakom. Uključivo sav potreban rad, materijal, alat i pribor kao i izradu uzoraka. Mjere provjeriti u naravi. </t>
  </si>
  <si>
    <t>a) čeone plohe - 15,5 x155 cm</t>
  </si>
  <si>
    <t>b) nagazne plohe - 34x155 cm</t>
  </si>
  <si>
    <t xml:space="preserve">Demontaža drvene oplate niša prozora </t>
  </si>
  <si>
    <t>Demontaža drvene oplate niša prozora u Hegedušićevoj dvorani koje se sastoje od oplate špaleta i parapeta. Stavka uključuje demontažu sveg spojnog i pričvrsnog materijala.</t>
  </si>
  <si>
    <t>Demontaža uglovnog šahta u prizemlju</t>
  </si>
  <si>
    <t>Demontaža uglovnog šahta u prizemlju ispod južnog stubišta. Stavka uključuje demontažu svih elemenata.</t>
  </si>
  <si>
    <t xml:space="preserve">Dobava, doprema ormara za zatvaranje razdjelnika elektroinstalacija. Dimenzije ormara 170x65 cm, visine do spuštenog stropa (cca 310 cm). Korpusi iveral 18 mm, preforirane fronte u donjoj i gornjoj zoni od MDF-a, lakirani mat 19 mm. </t>
  </si>
  <si>
    <t>Okov: sve skrivene spojnice, frpnte tip-top bez ručki. 
Završna obrada RAL: 9016 mat, po odobrenju uzorka.</t>
  </si>
  <si>
    <t>Pozicije: prizemlje_spremište knjiga 1, arhiv
                1.kat: ured 1 i 5
                2. kat: ured 8 i 17
                potkrovlje : ured 24</t>
  </si>
  <si>
    <t>a) dimnjak</t>
  </si>
  <si>
    <t>Pokrovna kapa krova dimnjaka</t>
  </si>
  <si>
    <t>Opšav dimnjaka sa krovom</t>
  </si>
  <si>
    <t xml:space="preserve">Kompletno armiranje vlaknocementnih ploča nanošenjem armirnog sloja od svijetlog, mineralnog morta za lijepljenje i armiranje na bazi bijelog cementa, hidratiziranog vapna i visokokvalitetnog, frakcioniranog, drobljenog pješčanog vapnenca, isključivo iz atestiranog sustava proizvođača fasade.                                                                                                                                                                          U mort se u svježem stanju utiskuje tekstilno-staklena, alkalno otporna mrežica 160 g/m2, veličine otvora 4×4 mm s preklopom od minimalno 10 cm. Pozicija mrežice u polovini do gornje trećine debljine sloja. Debljina armirnog sloja min 3 mm. Obavezno dodatno ojačanje kuteva otvora dijagonalno postavljenim mrežicama dimenzija 20×40 cm ili 30×50 cm, sve iz sustava proizvođača fasade.                                                             
</t>
  </si>
  <si>
    <t xml:space="preserve">Po izvedbi armirnog sloja nakon odgovarajućeg sušenja, a prije izvedbe završnih slojeva izvodi se temeljni premaz iz sustava proizvođača fasadnog sustava. Temeljni premaz je sredstvo za bolje prianjanje fasadne boje. Toniranti u nijansu prema završnoj strukturnoj žbuci. </t>
  </si>
  <si>
    <t>Nanošenje završne boje</t>
  </si>
  <si>
    <t>Stavka uključuje i obradu profilacija.</t>
  </si>
  <si>
    <t>Obračun po m2 ugrađenih svih slojeva i m1 profilacije.</t>
  </si>
  <si>
    <t>b) profilacije, rš 40 cm</t>
  </si>
  <si>
    <t>b) profilacije rš 40 cm</t>
  </si>
  <si>
    <t>c) profilacije rš 20 cm</t>
  </si>
  <si>
    <t>c) profilacije, rš 20 cm</t>
  </si>
  <si>
    <t>Stavka uključuje i izvedbu zaštite crijepa tijekom izvedbe radova na izvedbi fasadne boje, sve uključeno u cijenu stavke.</t>
  </si>
  <si>
    <t xml:space="preserve">Izrada, dobava i ugradnja čelične krovne rešetke od vruće cinčanih čeličnih profila i rešetke, d= 4 cm. Stavka uključuje i ličenje u RAL-u po potvrdi projektanta u tonu završnog premaza HI krova.
 Izvode se rubni fiksni profili s radnom reškom, poprečni profili te četiri čelične "podne" rešetke kao ispuna između profila. U stavku uključena sva potrebna brtvljenja, premazi i dilatacijski elementi, elementi ugradnje i sidrenja u nosivu betonsku konstrukciju krova.
Čelične rešetke nisu fiksne već se mogu privremeno ukloniti (montaža i servis strojarske opreme) </t>
  </si>
  <si>
    <t>Obračun po m3 tla u sraslom stanju.</t>
  </si>
  <si>
    <t>Kombinirani strojni i ručni iskop u tlu C kategorije uz postojeću konstrukciju sa južne i zapadne strane te široki iskop na dvije preostale strane, do dubine 5 m od terena. Pažljivi rad kod iskopa s obzirom na nepoznate uvjete ispod nivoa terena i neposredno uz temelje zgrade. Privremeno deponiranje dijela materijala na gradilištu radi ponovne ugradnje, te odvoz preostalog materijala na odlagalište.</t>
  </si>
  <si>
    <t>Iskopi za sprinkler bazen</t>
  </si>
  <si>
    <t>Nasipavanje rova</t>
  </si>
  <si>
    <t xml:space="preserve">Planiranje dna iskopa građevinske jame ili dna rova za instalacije, s točnošću +/- 3 cm, uključivo odsijecanje i prebacivanje viška iskopa. Izvesti ručno. </t>
  </si>
  <si>
    <t>Obračun po  m2.</t>
  </si>
  <si>
    <r>
      <t xml:space="preserve">Izrada izvještaja o provedenom ispitivanju zbijenosti podloge izrađenog od strane ovlaštene institucije. Kontrola zbijenosti provodi se kružnom pločom Ø30 cm prema HRN U.B1.046/68 ili jednakovrijedno. Izvještaj obuhvaća sva potrebna ispitivanja zbijenosti svih podloga (nosivo tlo, nasipi, posteljice, tampon) na cijeloj zoni obuhvata radova </t>
    </r>
    <r>
      <rPr>
        <sz val="10"/>
        <rFont val="Calibri"/>
        <family val="2"/>
      </rPr>
      <t xml:space="preserve">obuhvaćenih ovim troškovnikom zemljanih radova. </t>
    </r>
  </si>
  <si>
    <t xml:space="preserve">Dobava i nasipavanje rovova ili iskopa između zidova zdravim materijalom iz iskopa u slojevima te strojno nabijanje materijala do potrebne zbijenosti, projektirane visine i oblika.
 Ova stavka obuhvaća:
 - dovoz materijala s deponije ili dovoz novog materijala, uključivo iskop, utovar i istovar iz vozila,
 - nasipavanje u slojevima,
 - strojno nabijanje do potrebne zbijenosti,
 - planiranje terena s točnosti  ± 2 cm,
 - zbijenost nasipanog i nabijenog materijala treba iznositi najmanje Me=10,0 MN/m2, s izdavanjem potrebnog atesta.
 - ukoliko je zbijenost manja od propisane izvršiti sanaciju posteljice do potrebne zbijenosti
</t>
  </si>
  <si>
    <t>Rezanje otvora AB zida sprinkler bazena</t>
  </si>
  <si>
    <t>Rezanje otvora u zidu ukopane prostorije sprinkler stanice prilikom izvedbe prolaza 70x100 cm u spremnik vode. Stavka uključuje usitnjavanje ruševina, vertikalni i horizontalni transport,  utovar i odvoz na deponij. Izvesti pažljivo sa odgovarajućim alatima  kako se ne bi oštetili dijelovi konstrukcije i susjedne plohe koji se ne ruše.</t>
  </si>
  <si>
    <t>Razgradnja zidanog zida uz stubište u podrumu i prizemlju uz korištenje odgovarajućih alata. Stavka uključuje i rušenje obloga kojima je obložen element koji se ruši i rušenje manjih betonskih dijelova unutar zida kao nadvoj.  Stavka uključuje pažljivu ručnu razgradnju zida (pretpostavljeno od opeke ili mješovito kamen/opeka), te odvoz materijala na odlagalište. Razvijena duljina kružnog zida 2.6 m, pretpostavljena debljina 45 cm. Stavka uključuje usitnjavanje ruševina, vertikalni i horizontalni transport,  utovar i odvoz na deponij. Izvesti pažljivo kako se ne bi oštetili dijelovi konstrukcije i susjedne plohe koji se ne ruše.</t>
  </si>
  <si>
    <t>Razgradnja zidanog zida uz zavojito stubište u podrumu</t>
  </si>
  <si>
    <t>a) sjeverno krilo</t>
  </si>
  <si>
    <t>b) južno krilo</t>
  </si>
  <si>
    <t>Razgradnja poda potkrovlja na poziciji novog stubišta i lifta</t>
  </si>
  <si>
    <t>Stavka uključuje utovar i odvoz na deponij, sa svim naknadama za deponiranje otpadnog materijala.</t>
  </si>
  <si>
    <t>Razgradnja poda potkrovlja na poziciji zavojitog stubišta</t>
  </si>
  <si>
    <t>Razgradnja AB sjevernog stubišta</t>
  </si>
  <si>
    <t>Razgradnja poda prizemlja za izvedbu stubišta u podrum</t>
  </si>
  <si>
    <t>Razgradnja stropne ploče potkrovlja</t>
  </si>
  <si>
    <t>Sondiranje postojećih betonskih ploča i greda u podu prvog  i drugog kata.  Potrebno uklanjanje zaštitnog sloja betona do armature bi se utvrdilo stanje te dimenzije i razmaci postojeće armature, te zatvaranje sondi.</t>
  </si>
  <si>
    <t xml:space="preserve">Sondiranje postojećih betonskih ploča i greda u podu  </t>
  </si>
  <si>
    <t>Razgradnja postojećih slojeva poda 1. kata iznad svodova prizemlja</t>
  </si>
  <si>
    <t>Stavka uključuje utovar i odvoz na deponiju sa svim naknadama za deponiranje otpadnog materijala.</t>
  </si>
  <si>
    <t>Razgradnja postojećih slojeva poda prizemlja do svoda podruma</t>
  </si>
  <si>
    <t>Razgradnja postojećih slojeva poda kata do podne ploče ( dio na kojem je skinuta završna podna obloga)</t>
  </si>
  <si>
    <t>Prezidavanje postojećih zidanih zidova</t>
  </si>
  <si>
    <t xml:space="preserve"> Obračun po m3 prezidanog zida.</t>
  </si>
  <si>
    <t>Dozidavanje postojećih zidova</t>
  </si>
  <si>
    <t>Zidarska obrada ležaja nadvoja</t>
  </si>
  <si>
    <t xml:space="preserve">Demontaža postojećih spuštenih stropova od gipskartonskih ploča uključivo i demontažu tipske metalne potkonstrukcije s elementima za zavješenje (bez obzira na visinu zavješenja) sve do konstrukcije sa svim spojnim i pričvrsnim materijalom. Uključivo i vertikalne elemente obloge između različitih nivoa stropova ili na njegovom rubu. Stavka uključuje usitnjavanje , vertikalni i horizontalni transport te utovar i odvoz na deponij. </t>
  </si>
  <si>
    <t xml:space="preserve">Demontaža postojećih obloga zidova od gipskartonskih ploča uključivo i demontažu tipske metalne potkonstrukcije sve do konstrukcije  sa svim spojnim i pričvrsnim materijalom.  Stavka uključuje usitnjavanje, vertikalni i horizontalni transport te utovar i odvoz na deponij. </t>
  </si>
  <si>
    <t xml:space="preserve">Demontaža postojećih zidova od gipskartonskih ploča uključivo i demontažu tipske metalne potkonstrukcije sve do konstrukcije  sa svim spojnim i pričvrsnim materijalom.  Stavka uključuje usitnjavanje, vertikalni i horizontalni transport te utovar i odvoz na deponij. </t>
  </si>
  <si>
    <t>Pažljivo vađenje unutarnje stolarije iz zidova od opeke koji se zadržavaju. Stavka uključuje demontažu svih elemenata te spojnog i pričvrsnog materijala. Reprezentativne primjerke prema odabiru nadležnog konzervatora i/ili projektanta čuvati na gradilištu do izvedbe zamjenske stolarije, a ostatak se odvozi na deponij. Cijena uključuje transport demontiranih dovratnika i doprozornika, vratnih i prozorskih krila na deponij.</t>
  </si>
  <si>
    <t>Vađenje unutarnje stolarije iz zidova od opeke koji se uklanjaju. Stavka uključuje demontažu svih elemenata te spojnog i pričvrsnog materijala. Reprezentativne primjerke prema odabiru nadležnog konzervatora i/ili projektanta čuvati na gradilištu do izvedbe zamjenske stolarije, a ostatak se odvozi na deponij. Cijena uključuje transport demontiranih dovratnika i doprozornika, vratnih i prozorskih krila na deponij.</t>
  </si>
  <si>
    <t>d) jednokrilna vrata_ 2. kat</t>
  </si>
  <si>
    <t xml:space="preserve">Demontaža svih slojeva dvostrešnog krova glavnog krila sa pokrovom od crijepa.
Stavka uključuje demontažu drvenih rogova, letvi i svih elemenata pokrova od dvostruki biber crijepa. Stavka uključuje demontažu sveg spojnog i pričvrsnog materijala. Stavka uključuje, vertikalni i horizontalni transport,  utovar i odvoz na deponij. Stavka uključuje i demontažu tipskih snjegobrana učvršćenih za pokrov.
 </t>
  </si>
  <si>
    <t xml:space="preserve">Demontaža svih slojeva krovnih kućica  glavnog krila sa pokrovom od crijepa.
Stavka uključuje demontažu drvenih rogova, letvi i svih elemenata pokrova od dvostruki biber crijepa. Stavka uključuje demontažu sveg spojnog i pričvrsnog materijala. Stavka uključuje, vertikalni i horizontalni transport,  utovar i odvoz na deponij. Stavka uključuje i demontažu tipskih snjegobrana učvršćenih za pokrov.
 </t>
  </si>
  <si>
    <r>
      <t>Uklanjanje sloja hidroizolacije sa ravnog krova ( nagib 4</t>
    </r>
    <r>
      <rPr>
        <sz val="10"/>
        <rFont val="Aptos Narrow"/>
        <family val="2"/>
      </rPr>
      <t>°</t>
    </r>
    <r>
      <rPr>
        <sz val="10"/>
        <rFont val="Calibri"/>
        <family val="2"/>
      </rPr>
      <t>). Stavka uključuje kompletno uklanjanje svih slojeva krovne ljepenke, zajedno sa podložnim slojevima sve do betonske ploče.</t>
    </r>
    <r>
      <rPr>
        <sz val="10"/>
        <rFont val="Calibri"/>
        <family val="2"/>
        <scheme val="minor"/>
      </rPr>
      <t xml:space="preserve"> Stavka uključuje, vertikalni i horizontalni transport,  utovar i odvoz na deponij. Izvesti pažljivo kako se ne bi oštetili dijelovi konstrukcije i susjedne plohe koji se ne ruše.</t>
    </r>
  </si>
  <si>
    <t>Razgradnja sloja estriha na pozicijama prethodno uklonjene keramike na podu. Stavka uključuje, vertikalni i horizontalni transport,  utovar i odvoz na deponij. Izvesti pažljivo kako se ne bi oštetili dijelovi konstrukcije i susjedne plohe koji se ne ruše.</t>
  </si>
  <si>
    <t>Razgradnja zidne keramike u prostorijama sanitarija na prizemlju. Stavka uključuje i uklanjanje svih slojeva ljepila ispod opločenja. Stavka uključuje, vertikalni i horizontalni transport,  utovar i odvoz na deponij. Izvesti pažljivo kako se ne bi oštetili dijelovi konstrukcije i susjedne plohe koji se ne ruše.</t>
  </si>
  <si>
    <t>Stavka uključuje usitnjavanje na manje komade, vertikalni i horizontalni transport,  utovar i odvoz na deponij.</t>
  </si>
  <si>
    <t>Pažljivo strojno djelomično obijanje cementne žbuke sa svih pročelja. Žbuka se obija samo na mjestima oštećenja (površinska erozija, odvajanje od zida, oštećenja od vlage, pukotine i sl.). Ta mjesta će se odrediti pregledom na licu mjesta, zajedno s nadzornim inženjerom. Paziti da se dodatno ne ošteti zid od opeke, kameni elementi, profilacije i sl. Na tom mjestima žbuku pažljivo obijati ručno. Rad na visini. U stavku je uključen sav potreban alat i pribor. Izvesti po uzancama zanata. 
Stavka uključuje usitnjavanje na manje komade prema potrebi, vertikalni i horizontalni transport,  utovar i odvoz na deponij.</t>
  </si>
  <si>
    <t>Pažljiva razgradnja postojećih slojeva ispune svodova podruma sve do nosive konstrukcije. Slojevi poda uključuju završni pod (parket), sloja dasaka na potkonstrukciji, eventualno i druge slojeve (betonski estrih i slično), te sloj šute debljine 35-80 cm. Stavka uključuje usitnjavanje ruševina, vertikalni i horizontalni transport te utovar i odvoz na deponij. Izvesti pažljivo kako se ne bi oštetili dijelovi konstrukcije i susjedne plohe koji se ne ruše. Sa utovarom i odvozom na deponij. Po m3.</t>
  </si>
  <si>
    <t xml:space="preserve">Pažljiva razgradnja postojećih slojeva ispune svodova prizemlja sve do nosive konstrukcije. Slojevi poda uključuju završni pod (parket), sloja dasaka na potkonstrukciji, eventualno i druge slojeve (betonski estrih i slično), te sloj šute debljine 5 - 50 cm. Stavka uključuje usitnjavanje ruševina, vertikalni i horizontalni transport te utovar i odvoz na deponij. Izvesti pažljivo kako se ne bi oštetili dijelovi konstrukcije i susjedne plohe koji se ne ruše. </t>
  </si>
  <si>
    <t>a) drveni dio ( rogovi, daske, letve)</t>
  </si>
  <si>
    <t>Zidarska obrada ležaja nadvoja koja uključuje zatvaranje otvora ležaja u licu sa ostatkom zida. Stavka uključuje sav potreban rad i materijal te izvedbu.</t>
  </si>
  <si>
    <t xml:space="preserve">Pažljiva razgradnja postojećeg poda potkrovlja za ugradnju zavojitog metalnog stubišta. Na mjestu izvođenja prodora za novo stubište uklanja se nosiva konstrukcija armiranobetonske ploče spregnute s drvenim grednicima zajedno sa slojevima podgleda koji se nalaze ispod drvenih grednika. VAŽNO: Uklanja se podgled i označava prodor konstrukcije te poziva na uvid projektanta kako bi se točno definirao način izvedbe drvene mjene (obračunato zasebno) nakon čega se može izvoditi prodor. Stavka uključuje usitnjavanje na manje komade, vertikalni i horizontalni transport,  utovar i odvoz na deponij. Izvesti pažljivo kako se nebi oštetili dijelovi konstrukcije i susjedne plohe koji se ne ruše. </t>
  </si>
  <si>
    <t xml:space="preserve">Pažljiva razgradnja postojećeg poda potkrovlja za izvedbu armiranobetonskog stubišta i okna dizala. Na mjestu izvođenja novog stubišta uklanja se nosiva konstrukcija armiranobetonske ploče spregnute s drvenim grednicima zajedno sa slojevima podgleda koji se nalaze ispod drvenih grednika, te svjetlika sa svim elementima. Stavka uključuje usitnjavanje na manje komade, vertikalni i horizontalni transport,  utovar i odvoz na deponij. Izvesti pažljivo kako se nebi oštetili dijelovi konstrukcije i susjedne plohe koji se ne ruše. </t>
  </si>
  <si>
    <t xml:space="preserve">Pažljiva razgradnja postojećeg armiranobetonskog sjevernog stubišta u glavnom krilu. Uklanjaju se završni slojevi i nosiva konstrukcija trokrakog stubišta uključivo sa podestima i gredama na koje se oslanja stubište. Stavka uključuje usitnjavanje na manje komade, vertikalni i horizontalni transport,  utovar i odvoz na deponij. Izvesti pažljivo kako se nebi oštetili dijelovi konstrukcije i susjedne plohe koji se ne ruše (uključivo AB grede i ploče sjeverno od podesta koje se čuvaju). Stavka uključuje i razgradnju ležajeva gdje su isti u koliziji s osloncima nove AB konstrukcije. </t>
  </si>
  <si>
    <t xml:space="preserve">Pažljiva razgradnja postojećeg poda prizemlja za izvedbu novog armiranobetonskog stubišta za podrum. Na mjestu izvođenja novog stubišta uklanja se nosiva konstrukcija betonske ploče i zidanog svoda zajedno sa završnim slojevima i podgledom. Stavka uključuje usitnjavanje na manje komade, vertikalni i horizontalni transport,  utovar i odvoz na deponij. Izvesti pažljivo kako se nebi oštetili dijelovi konstrukcije i susjedne plohe koji se ne ruše. </t>
  </si>
  <si>
    <t>Pažljiva razgradnja dijela postojeće armiranobetonske stropne ploče potkrovlja sjevernog i južnog krila za ventilaciju klima-komora. Uklanja se nosiva konstrukcija armiranobetonske ploče zajedno sa svim slojevima ukupne debljine cca 16 cm. Uklanja se ploča između stropnih armiranobetonskih greda. Prilikom razgradnje potrebno podupirati grede i zidove koji se ne razgrađuju. Izvesti pažljivo kako se nebi oštetili dijelovi konstrukcije i susjedne plohe koji se ne ruše. Stavka uključuje usitnjavanje na manje komade, vertikalni i horizontalni transport,  utovar i odvoz na deponij.</t>
  </si>
  <si>
    <t xml:space="preserve">Dobava, doprema materijala i ugradnja temeljne žbuka i grube žbuke na unutarnjim zidovima prizemlja na kojim se izvodi sanacija kapilarne vlage, svjetle bež boje, na bazi prirodnog hidrauličkog vapna (HRN EN 459-1 ili jednakovrijedno) velike paropropusnosti sa hidrauličkim djelovanjem (klase R, prema EN 998-1 ili jednakovrijedno, klase CSII prema EN 1015-11 ili jednakovrijedno, µ &lt; 15 prema EN 1015-19 ili jednakovrijedno, Dmax = 2,5mm), u debljini 2.5 cm.  </t>
  </si>
  <si>
    <t xml:space="preserve">Dobava, doprema materijala i ugradnja fine paropropusne žbuke. Žbuka se ručno ugrađuje. 
Karakteristike fine žbuke:       
- klasa GP (EN 998-1. ili jednakovrijedno)                                                                                              - maksimalno zrno agregata: min. 0,6 mm              
 - specifična gustoća mort: min. 1.80–1.9 kg/L                                                                                                                                 - prionjivost na podlogu: min. 0.2 Mapa (EN 1015-12 ili jednakovrijedan)                                                                             - koeficijent otpornosti na prolaz vodene pare: maks. 15 (EN 1015-19 ili jednakovrijedan)                                                                                                               - toplinska provodljivost: ~0.27 W/mK (EN 1745 ili jednakovrijedan)                                                                                 </t>
  </si>
  <si>
    <t>Toplinski sustav unutarnjih zidova</t>
  </si>
  <si>
    <t>Zidovi prema negrijanom prostoru- stari zidovi</t>
  </si>
  <si>
    <t xml:space="preserve">Dobava i ugradnja svih potrebnih materijala za izvedbu  fasadnog sustava  sa završnom obradom fasadnom bojom na lažnim dimnjacima. </t>
  </si>
  <si>
    <t>Doprema, montaža, demontaža i amortizacija prostorne skele unutar zlatne dvorane koja će poslužiti za izvođenje građevinsko obrtničkih, instalaterskih i konzervatorsko restauratorskih radova na zidovima, svodu i svjetliku; sa svim potrebnim elementima i zaštitom, a sve prema HTZ propisima. Skela uključuje radnu površinu popođenu daskama na visini približno 2 m od svoda. Tlocrtna površina prostora koji se podupire iznosi 102 m2, visina skele približno 5,50 m ( računato 2 m ispod svoda). U cijeni stavke, a prije izvedbe radova, izvođač je dužan napraviti projekt skele sa svim zaštitnim mjerama.</t>
  </si>
  <si>
    <t>Obračun za m2 dimnjaka i m1 profilacije.</t>
  </si>
  <si>
    <t>Prije izvedbe svih završnih slojeva podova izvođač je dužan dostaviti uzorak na potvrdu projektantu i nadzornom inženjeru. Izrada uzorka uključena u cijenu. Uzorak uključuje završne obrade, boje i načine slaganja završnih podnih obloga.</t>
  </si>
  <si>
    <t xml:space="preserve">Dobava i ugradnja trokomponentnog, cementno-epoksidnog, samoizravnavajućeg morta (prema EN 13813 ili jednakovrijedno) u ukupnoj debljini min. 2mm, na podlozi sa visokom vlagom. Karakteristika: tlačna čvrstoća, 1 dan: min. 15 MPa (EN 196-1 ili jednakovrijedna), savojna čvrstoća: min. 5.8 (EN 196-1 ili jednakovrijedna), statički modul elastičnosti: min. 19.9 MPa (SIA 162/1 ili jednakovrijedno), koeficijent termičkog širenja: maks.15,1*10-6 / °C (EN 1770 ili jednakovrijedna), paropropusnost mH2O: min. 252 (ISO 7783-3 ili jednakovrijedno), ponašanje u požaru: klasa A2 (EN 13501-1 ili jednakovrijedno).
Mort se nanosi na prethodno nanešeni temeljni dvokomponentni epoksidni premaz kompatibilan sa mortom, a što je uključeno u cijenu stavke. Svi proizvodi trebaju biti u sustavu jednog proizvođača materijala. Radove izvesti prema uputama proizvođača materijala. U cijenu uključena izrada holkera na spoju horizontale i vertikale koristeći gotove profile ili mješavinu epoksidne smole, kvarcnog pijeska i uguščivača. </t>
  </si>
  <si>
    <t>b) podrum - spremište (PO3) - sokl</t>
  </si>
  <si>
    <r>
      <t xml:space="preserve">a) visina spuštanja </t>
    </r>
    <r>
      <rPr>
        <sz val="10"/>
        <rFont val="Calibri"/>
        <family val="2"/>
      </rPr>
      <t>~10-20 cm</t>
    </r>
  </si>
  <si>
    <r>
      <t xml:space="preserve">a) visina spuštanja </t>
    </r>
    <r>
      <rPr>
        <sz val="10"/>
        <rFont val="Calibri"/>
        <family val="2"/>
      </rPr>
      <t>~50-60 cm</t>
    </r>
  </si>
  <si>
    <r>
      <t xml:space="preserve">b) visina spuštanja </t>
    </r>
    <r>
      <rPr>
        <sz val="10"/>
        <rFont val="Calibri"/>
        <family val="2"/>
      </rPr>
      <t>~70-80 cm</t>
    </r>
  </si>
  <si>
    <r>
      <t xml:space="preserve">c) visina spuštanja </t>
    </r>
    <r>
      <rPr>
        <sz val="10"/>
        <rFont val="Calibri"/>
        <family val="2"/>
      </rPr>
      <t>~80-90 cm</t>
    </r>
  </si>
  <si>
    <r>
      <t xml:space="preserve">b) visina spuštanja </t>
    </r>
    <r>
      <rPr>
        <sz val="10"/>
        <rFont val="Calibri"/>
        <family val="2"/>
      </rPr>
      <t>~30-40 cm</t>
    </r>
  </si>
  <si>
    <r>
      <t xml:space="preserve">c) visina spuštanja </t>
    </r>
    <r>
      <rPr>
        <sz val="10"/>
        <rFont val="Calibri"/>
        <family val="2"/>
      </rPr>
      <t>~40-50 cm</t>
    </r>
  </si>
  <si>
    <r>
      <t xml:space="preserve">d) visina spuštanja </t>
    </r>
    <r>
      <rPr>
        <sz val="10"/>
        <rFont val="Calibri"/>
        <family val="2"/>
      </rPr>
      <t>~60 cm (cca 20-30 cm do grede)</t>
    </r>
  </si>
  <si>
    <r>
      <t xml:space="preserve">e) visina spuštanja </t>
    </r>
    <r>
      <rPr>
        <sz val="10"/>
        <rFont val="Calibri"/>
        <family val="2"/>
      </rPr>
      <t>~60-70 cm</t>
    </r>
  </si>
  <si>
    <r>
      <t xml:space="preserve">f) visina spuštanja </t>
    </r>
    <r>
      <rPr>
        <sz val="10"/>
        <rFont val="Calibri"/>
        <family val="2"/>
      </rPr>
      <t>~70-80 cm</t>
    </r>
  </si>
  <si>
    <r>
      <t xml:space="preserve">g) visina spuštanja </t>
    </r>
    <r>
      <rPr>
        <sz val="10"/>
        <rFont val="Calibri"/>
        <family val="2"/>
      </rPr>
      <t>~80-90 cm (cca 40-55 cm do grede)</t>
    </r>
  </si>
  <si>
    <r>
      <t xml:space="preserve">h) visina spuštanja </t>
    </r>
    <r>
      <rPr>
        <sz val="10"/>
        <rFont val="Calibri"/>
        <family val="2"/>
      </rPr>
      <t>~80-90 cm</t>
    </r>
  </si>
  <si>
    <r>
      <t xml:space="preserve">i) visina spuštanja </t>
    </r>
    <r>
      <rPr>
        <sz val="10"/>
        <rFont val="Calibri"/>
        <family val="2"/>
      </rPr>
      <t>~105 cm</t>
    </r>
  </si>
  <si>
    <r>
      <t xml:space="preserve">j) visina spuštanja </t>
    </r>
    <r>
      <rPr>
        <sz val="10"/>
        <rFont val="Calibri"/>
        <family val="2"/>
      </rPr>
      <t>~140 cm</t>
    </r>
  </si>
  <si>
    <r>
      <t xml:space="preserve">a) visina spuštanja </t>
    </r>
    <r>
      <rPr>
        <sz val="10"/>
        <rFont val="Calibri"/>
        <family val="2"/>
      </rPr>
      <t>~40 cm</t>
    </r>
    <r>
      <rPr>
        <sz val="10"/>
        <rFont val="Calibri"/>
        <family val="2"/>
        <scheme val="minor"/>
      </rPr>
      <t xml:space="preserve"> (cca 20 cm do grede)</t>
    </r>
  </si>
  <si>
    <t>Oznaka sloja: PT4, PT5.</t>
  </si>
  <si>
    <t>Oznaka sloja: PT4, PT5, PT5a.</t>
  </si>
  <si>
    <r>
      <t xml:space="preserve">b) visina spuštanja </t>
    </r>
    <r>
      <rPr>
        <sz val="10"/>
        <rFont val="Calibri"/>
        <family val="2"/>
      </rPr>
      <t>~70-80 cm</t>
    </r>
    <r>
      <rPr>
        <sz val="10"/>
        <rFont val="Calibri"/>
        <family val="2"/>
        <scheme val="minor"/>
      </rPr>
      <t xml:space="preserve"> (cca 45-55 cm do grede)</t>
    </r>
  </si>
  <si>
    <r>
      <t xml:space="preserve">a) visina spuštanja </t>
    </r>
    <r>
      <rPr>
        <sz val="10"/>
        <rFont val="Calibri"/>
        <family val="2"/>
      </rPr>
      <t>~30-40 cm</t>
    </r>
    <r>
      <rPr>
        <sz val="10"/>
        <rFont val="Calibri"/>
        <family val="2"/>
        <scheme val="minor"/>
      </rPr>
      <t xml:space="preserve"> (cca 20 cm do grede)</t>
    </r>
  </si>
  <si>
    <t>k) bočna maska za zatvaranje stropa, h~ 10-30 cm</t>
  </si>
  <si>
    <t>l) bočna maska za zatvaranje stropa, h~ 30-50 cm</t>
  </si>
  <si>
    <t>m) bočna maska za zatvaranje stropa, h~ 50-80 cm</t>
  </si>
  <si>
    <t xml:space="preserve">Dobava i ugradnja lajsne, linijske metalne, završne obrade mjed/bronca, debljine 2 mm kao razdjelne lajsna na spoju dvije različite podne obloge.  Ugradnju lajsne izvesti na način da ostane vidljiv samo gornji rub.  </t>
  </si>
  <si>
    <t>Oznaka sloja: PRT1, PRT2, PRN1, PRN1a, PRN2, P1K1, P1K2, P1K2c, P2K1, P2K2, P2K2b, PT1a, PT2.</t>
  </si>
  <si>
    <t>Spušteni strop od akustičnih ploča</t>
  </si>
  <si>
    <t>Izrada spuštenog stropa od akustičnih ploča,  na tipskoj čeličnoj podkonstrukciji od nosive i montažne podkonstrukcije iz pocinčanih čeličnih profila koja se ovjesnim elementima učvršćuje na nosivu konstrukciju. 
Akustične ploče razreda C (visoka apsorpcija, proračunska vrijednost aW=0,65), prema DIN EN ISO 11654 ili jednakovrijedno.
Stavka obuhvaća nabavu svog potrebnog materijala, dovoz te sav potreban rad ljudi i strojeva i korištenje radnih skela.</t>
  </si>
  <si>
    <t>a) potkrovlje - dvorana</t>
  </si>
  <si>
    <t>b) potkrovlje - galerija</t>
  </si>
  <si>
    <t>Oznaka sloja: KN, KG2, istočni trijem.</t>
  </si>
  <si>
    <t>A.0.</t>
  </si>
  <si>
    <t>A.0.1.</t>
  </si>
  <si>
    <t xml:space="preserve">RADOVI RUŠENJA I DEMONTAŽE </t>
  </si>
  <si>
    <t>Demontaža svih slojeva jednostrešnog krova sa limenim pokrovom.
Stavka uključuje demontažu drvenih rogova, letvi i folije te svih elemenata pokrova, uključivo i rubnih elementa. Stavka uključuje demontažu sveg spojnog i pričvrsnog materijala. Stavka uključuje, vertikalni i horizontalni transport,  utovar i odvoz na deponij. 
Stavka uključuje i demontažu tipskih snjegobrana učvršćenih za pokrov.</t>
  </si>
  <si>
    <r>
      <t>Dobava, transport i betoniranje armirano-betonske</t>
    </r>
    <r>
      <rPr>
        <b/>
        <sz val="10"/>
        <rFont val="Calibri"/>
        <family val="2"/>
        <scheme val="minor"/>
      </rPr>
      <t xml:space="preserve"> podne ploče</t>
    </r>
    <r>
      <rPr>
        <sz val="10"/>
        <rFont val="Calibri"/>
        <family val="2"/>
      </rPr>
      <t xml:space="preserve"> građevine betonom C25/30, debljine d=15 cm u oplati, zrno 16 mm. Prilikom ugradnje beton vibrirati, a zatim beton pravilno njegovati. Gornja površina fino zaglađena što je uključeno u stavku. </t>
    </r>
  </si>
  <si>
    <t>Dobava i ugradba betona za betoniranje armiranobetonskih stubišta (krakovi, stepenice, polupodesti) debljine d=15 cm, klase C25/30, zrno 16 mm, klase izloženosti XC1 u potrebnoj glatkoj oplati. Visina podupiranja do 2 m.  Armirati prema statičkom proračunu i planu savijanja armature. U cijenu su uključeni svi distanceri i držači armature. Prilikom betoniranja ugraditi sve elemente predviđene za ugradbu (nosači ograde, rasvjetni elementi, oprema, instalacije i sl.). Sve prema pravilima struke. Kompletan rad, transport betona, materijal. Obračun betona po m3 i oplate po m2. Armatura iskazana u posebnoj stavci.</t>
  </si>
  <si>
    <t>a) oplata</t>
  </si>
  <si>
    <t>b) beton</t>
  </si>
  <si>
    <t>Dobava i ugradba betona za betoniranje armiranobetonskih ploča podesta debljine d=15 cm, klase C25/30, zrno 16 mm, klase izloženosti XC1, u potrebnoj oplati. Armirati prema statičkom proračunu i planu savijanja armature. U cijenu su uključeni svi distanceri i držači armature. Prilikom betoniranja ugraditi sve elemente predviđene za ugradbu (nosači, oprema, instalacije i sl.). Sve prema pravilima struke. Kompletan rad, transport betona, materijal. Obračun betona po m3 i oplate po m2. Armatura iskazana u posebnoj stavci.</t>
  </si>
  <si>
    <t>Dobava i ugradba betona za betoniranje armiranobetonskih greda dimenzija 20/30 cm, klase C25/30, zrno 16 mm, klase izloženosti XC1, u potrebnoj oplati. Armirati prema statičkom proračunu i planu savijanja armature. U cijenu su uključeni svi distanceri i držači armature. Prilikom betoniranja ugraditi sve elemente predviđene za ugradbu (nosači, oprema, instalacije i sl.). Sve prema pravilima struke. Kompletan rad, transport betona, materijal. Obračun betona po m3 i oplate po m2. Armatura iskazana u posebnoj stavci.</t>
  </si>
  <si>
    <t>Dobava i ugradba betona za betoniranje armiranobetonskih serklaža (vertikalnih, horizontalnih i kosih), klase C20/25, zrno 16 mm, klase izloženosti XC1, u potrebnoj oplati. Armirati prema statičkom proračunu i planu savijanja armature. U cijenu su uključeni svi distanceri i držači armature. Prilikom betoniranja ugraditi sve elemente predviđene za ugradbu (nosači, oprema, instalacije i sl.). Sve prema pravilima struke. Kompletan rad, transport betona, materijal. Obračun betona po m3 i oplate po m2. Armatura iskazana u posebnoj stavci.</t>
  </si>
  <si>
    <t>Dobava i ugradba laganog betona klase LC8/9 zapreminske težine 500 kg/m3, spravljen s recikliranim EPS granulama i mikroarmiran vlaknima, za ispunu volumena iznad svodova. Minimalna tlačna čvrstoća 2 MPa. Prilikom betoniranja ugraditi sve elemente predviđene za ugradbu (rasvjetni elementi, oprema, instalacije i sl.). Sve prema pravilima struke. Kompletan rad, transport betona, materijal. Obračun betona po m3.</t>
  </si>
  <si>
    <t>Dobava i ugradba betona za betoniranje armiranobetonskih ploča d=8 cm iznad lagane ispune svodova, klase C20/25, zrno 16 mm, klasa izloženosti XC1. Armirati prema statičkom proračunu i planu savijanja armature. U cijenu su uključeni svi distanceri i držači armature. Prilikom betoniranja ugraditi sve elemente predviđene za ugradbu (nosači, oprema, instalacije i sl.). Sve prema pravilima struke. Kompletan rad, transport betona, materijal. Obračun betona po m3. Armatura iskazana u posebnoj stavci.</t>
  </si>
  <si>
    <t>Dobava i ugradba betona za betoniranje armiranobetonske jame okna dizala. Debljina ploče iznosi 30 cm, a zidova 25 cm, odnosno 30 cm. Klasa betona C25/30, zrno 16 mm, klase izloženosti XC1. Armirati prema statičkom proračunu i planu savijanja armature. U cijenu su uključeni svi distanceri i držači armature. Prilikom betoniranja ugraditi sve elemente previđene za ugradnju (nosači, oprema, instalacije i sl.). Sve prema pravilima struke. Kompletan rad, transport betona, materijal. Obračun betona po m3 i oplate po m2. Armatura iskazana u posebnoj stavci.</t>
  </si>
  <si>
    <t>Dobava i ugradba betona za betoniranje armiranobetonskih nadvoja i okvira u otvorima, klase C20/25, zrno 16 mm, klase izloženosti XC1, u potrebnoj oplati. Armirati prema statičkom proračunu i planu savijanja armature. U cijenu su uključeni svi distanceri i držači armature. Prilikom betoniranja ugraditi sve elemente predviđene za ugradbu (nosači, oprema, instalacije i sl.). Sve prema pravilima struke. Kompletan rad, transport betona, materijal. Obračun betona po m3 i oplate po m2. Armatura iskazana u posebnoj stavci.</t>
  </si>
  <si>
    <t>Dobava i ugradba betona za betoniranje armiranobetonskih greda po rubu rešetki u stropu potkrovlja sjevernog i južnog krila. Grede dimenzija 25/20 cm, klase betona C25/30 cm, zrno 16 mm, klase izloženosti XC1, u potrebnoj oplati. Armirati prema statičkom proračunu i planu savijanja armature. U cijenu su uključeni svi distanceri i držači armature. Prilikom betoniranja ugraditi sve elemente predviđene za ugradbu (nosači, oprema, instalacije i sl.). Sve prema pravilima struke. Kompletan rad, transport betona, materijal. Obračun betona po m3 i oplate po m2. Armatura iskazana u posebnoj stavci.</t>
  </si>
  <si>
    <t>Dobava i ugradba betona za betoniranje armiranobetonske grede u stropu podruma. Greda dimenzija približno 30/50 cm, klase betona C25/30 cm, zrno 16 mm, klase izloženosti XC1, u potrebnoj oplati. Armirati prema statičkom proračunu i planu savijanja armature. U cijenu su uključeni svi distanceri i držači armature. Prilikom betoniranja ugraditi sve elemente predviđene za ugradbu (nosači, oprema, instalacije i sl.). Sve prema pravilima struke. Kompletan rad, transport betona, materijal. Obračun betona po m3 i oplate po m2. Armatura iskazana u posebnoj stavci.</t>
  </si>
  <si>
    <t>Dobava i ugradba betona za betoniranje armiranobetonskih podrumskih zidova, klase C25/30, zrno 16 mm, u potrebnoj oplati. Armirati prema statičkom proračunu i planu savijanja armature. U cijenu su uključeni svi distanceri i držači armature. Prilikom betoniranja ugraditi sve elemente predviđene za ugradbu (nosači, oprema, instalacije i sl.). Sve prema pravilima struke. Kompletan rad, transport betona, materijal. Obračun betona po m3 i oplate po m2. Armatura iskazana u posebnoj stavci.</t>
  </si>
  <si>
    <t>Stavka uključuje pažljivo kampadno podbetoniranje podrumskih zidova na kotu minimalno 60 cm ispod gotovog poda. Uključuje iskop u kampadama duljine 2-3 debljine postojećeg zida, armiranje i betoniranje kampada po izvedbenom detalju koji će definirati projektant po uklanjanju nasipa i definiranju kota postojećih nosivih struktura.</t>
  </si>
  <si>
    <t>Uključuje iskop, odvoz zemlje, te dobavu i ugradnju betona, armatura obračunata zasebno. Uključivo sva otežanja zbog kampadne izvedbe i specifičnosti prostora izvedbe. Obračun po m3.</t>
  </si>
  <si>
    <r>
      <rPr>
        <b/>
        <sz val="10"/>
        <rFont val="Calibri"/>
        <family val="2"/>
      </rPr>
      <t>Izrada projekta betona</t>
    </r>
    <r>
      <rPr>
        <sz val="10"/>
        <rFont val="Calibri"/>
        <family val="2"/>
      </rPr>
      <t xml:space="preserve"> (obveza izvođača). Izvođač treba angažirati tehnologa za armiranobetonske konstrukcije, koji treba izraditi projekt betona i tehnologiju ugradnje betona. Projekt betona i tehnologija ugradnje betona trebaju biti usklađeni sa projektom konstrukcije i sa arhitektonskim zahtjevima za beton. Predati u digitalnom obliku u pdf. formatu i tri primjerka uvezanog projekta.</t>
    </r>
  </si>
  <si>
    <t>Stavka uključuje razna sidrenja u postojeće zidove (opeka/kamen) ili betonske elemente koji nisu obračunati drugim stavkama. Dubina sidrenja do 1,2 m, promjer rupa do 30 mm.</t>
  </si>
  <si>
    <t>Uključuje bušenje, te ugradnju sidara sa svim predradnjama i sidrenjem. Obračun po m1 bušenja i kg sidara.</t>
  </si>
  <si>
    <t>a) bušenje</t>
  </si>
  <si>
    <t>b) navojne šipke</t>
  </si>
  <si>
    <t>c) navojne šipke od nehrđajućeg čelika</t>
  </si>
  <si>
    <t>Dobava, rezanje, savijanje, slaganje, vezanje i montaža rebraste i mrežaste armature srednje složenosti.  Obračun po kg kompletno dobavljene i prema armaturnim nacrtima postavljene armature. Točna količina utvrdit će se po izradi armaturnih nacrta. Rebraste šipke i mreže B500B.</t>
  </si>
  <si>
    <t>a) rebrasta armatura</t>
  </si>
  <si>
    <t>b) mrežasta armatura</t>
  </si>
  <si>
    <t>Razna sidrenja</t>
  </si>
  <si>
    <t>KROVNA KONSTRUKCIJA</t>
  </si>
  <si>
    <t>Nova drvena krovna konstrukcija zgrade.</t>
  </si>
  <si>
    <t>Stavka uključuje dobavu, zaštitu i ugradnju drvene građe rogova, mijena i nazidnice, uključujući sve potrebne spojeve. Osnovna krovna konstrukcija dvostrešno krovište nagiba 33°, manje dvostrešno krovište nagiba 24°, trostrešno krovište nagiba 14°, odnosno 24° te konstrukcija jednostrešnih krovova prema sjevernom i južnom krilu nagiba 10°.</t>
  </si>
  <si>
    <t>Čelik za spojeve kvalitete S235, odgovarajuće antikorozivno zaštićen. Prema HRN EN ISO 12944-2 definirana klasa korozivnosti je C2. Debljina zaštite definirati u skladu s navedenom klasom za ponuđeni proizvod.</t>
  </si>
  <si>
    <t>Prije naručivanja građe točne mjere građe provjeriti na licu mjesta.</t>
  </si>
  <si>
    <t>Rogovi i mijene kvalitete GL24h, nazidnica kvalitete C24.</t>
  </si>
  <si>
    <t xml:space="preserve"> - drvene grede 14/18 cm, GL24h, l=500 cm, kom. 38</t>
  </si>
  <si>
    <t xml:space="preserve"> - drvene grede 14/18 cm, GL24h, l=450 cm, kom. 12</t>
  </si>
  <si>
    <t xml:space="preserve"> - drvene grede 14/18 cm, GL24h, l=400 cm, kom. 35</t>
  </si>
  <si>
    <t xml:space="preserve"> - drvene grede 14/18 cm, GL24h, l=350 cm, kom. 13</t>
  </si>
  <si>
    <t xml:space="preserve"> - drvene grede 14/18 cm, GL24h, l=300 cm, kom. 7</t>
  </si>
  <si>
    <t xml:space="preserve"> - drvene grede 14/18 cm, GL24h, l=250 cm, kom. 22</t>
  </si>
  <si>
    <t xml:space="preserve"> - drvene grede 14/18 cm, GL24h, l=200 cm, kom. 31</t>
  </si>
  <si>
    <t xml:space="preserve"> - drvene grede 14/18 cm, GL24h, l=150 cm, kom. 41</t>
  </si>
  <si>
    <t xml:space="preserve"> - drvene grede 14/18 cm, GL24h, l=100 cm, kom. 30</t>
  </si>
  <si>
    <t xml:space="preserve"> - drvene grede 14/18 cm, GL24h, l=50 cm, kom. 5</t>
  </si>
  <si>
    <r>
      <t>Ukupno drvene građe GL24h: 20 m</t>
    </r>
    <r>
      <rPr>
        <vertAlign val="superscript"/>
        <sz val="9"/>
        <rFont val="Calibri"/>
        <family val="2"/>
        <charset val="238"/>
        <scheme val="minor"/>
      </rPr>
      <t>3</t>
    </r>
  </si>
  <si>
    <t xml:space="preserve"> - drvene grede 14/16 cm, C24, l=450 cm, kom. 3</t>
  </si>
  <si>
    <t xml:space="preserve"> - drvene grede 14/16 cm, C24, l=400 cm, kom. 4</t>
  </si>
  <si>
    <t xml:space="preserve"> - drvene grede 14/16 cm, C24, l=350 cm, kom. 6</t>
  </si>
  <si>
    <t xml:space="preserve"> - drvene grede 14/16 cm, C24, l=300 cm, kom. 2</t>
  </si>
  <si>
    <t xml:space="preserve"> - drvene grede 14/16 cm, C24, l=250 cm, kom. 4</t>
  </si>
  <si>
    <t xml:space="preserve"> - drvene grede 14/16 cm, C24, l=200 cm, kom. 2</t>
  </si>
  <si>
    <t xml:space="preserve"> - drvene grede 14/16 cm, C24, l=150 cm, kom. 1</t>
  </si>
  <si>
    <r>
      <t>Ukupno drvene građe C24: 2,0 m</t>
    </r>
    <r>
      <rPr>
        <vertAlign val="superscript"/>
        <sz val="9"/>
        <rFont val="Calibri"/>
        <family val="2"/>
        <charset val="238"/>
        <scheme val="minor"/>
      </rPr>
      <t>3</t>
    </r>
  </si>
  <si>
    <r>
      <t>Obračun po m</t>
    </r>
    <r>
      <rPr>
        <vertAlign val="superscript"/>
        <sz val="9"/>
        <rFont val="Calibri"/>
        <family val="2"/>
        <charset val="238"/>
        <scheme val="minor"/>
      </rPr>
      <t>2</t>
    </r>
    <r>
      <rPr>
        <sz val="9"/>
        <rFont val="Calibri"/>
        <family val="2"/>
        <charset val="238"/>
        <scheme val="minor"/>
      </rPr>
      <t xml:space="preserve"> tlocrtne površine krovišta.</t>
    </r>
  </si>
  <si>
    <t>Dobava, zaštita i ugradnja drvene građe manjih dimenzija za izvedbu drvene potkonstrukcije za prozore, potkonstrukcije za oslanjanje "lažnog" dimnjaka i potkonstrukcije za revizijsku stazu (nisu predmet krovne konstrukcije), uključujući sve potrebne spojeve.</t>
  </si>
  <si>
    <t>Drvena građa kvalitete C24.</t>
  </si>
  <si>
    <r>
      <t>Obračun prema m</t>
    </r>
    <r>
      <rPr>
        <vertAlign val="superscript"/>
        <sz val="9"/>
        <rFont val="Calibri"/>
        <family val="2"/>
        <charset val="238"/>
        <scheme val="minor"/>
      </rPr>
      <t>3</t>
    </r>
    <r>
      <rPr>
        <sz val="9"/>
        <rFont val="Calibri"/>
        <family val="2"/>
        <charset val="238"/>
        <scheme val="minor"/>
      </rPr>
      <t xml:space="preserve"> ugrađene drvene građe.</t>
    </r>
  </si>
  <si>
    <t xml:space="preserve">Drvena građa  </t>
  </si>
  <si>
    <r>
      <t>Dobava i ugradnja nove drvene građe mijene u stropnoj konstrukciji 2. kata dimenzije do 14/20 cm</t>
    </r>
    <r>
      <rPr>
        <sz val="9"/>
        <color rgb="FFFF0000"/>
        <rFont val="Calibri"/>
        <family val="2"/>
        <charset val="238"/>
        <scheme val="minor"/>
      </rPr>
      <t xml:space="preserve"> </t>
    </r>
    <r>
      <rPr>
        <sz val="9"/>
        <rFont val="Calibri"/>
        <family val="2"/>
        <charset val="238"/>
        <scheme val="minor"/>
      </rPr>
      <t>i duljine do</t>
    </r>
    <r>
      <rPr>
        <sz val="9"/>
        <color rgb="FFFF0000"/>
        <rFont val="Calibri"/>
        <family val="2"/>
        <charset val="238"/>
        <scheme val="minor"/>
      </rPr>
      <t xml:space="preserve"> </t>
    </r>
    <r>
      <rPr>
        <sz val="9"/>
        <rFont val="Calibri"/>
        <family val="2"/>
        <charset val="238"/>
        <scheme val="minor"/>
      </rPr>
      <t>2,0 m. Lokalno se ugrađuje nakon rušenja poda za izvedbu zavojitog metalnog stubišta, na temelju ovjerenog izvještaja projektanta. Stavka uključuje i sve elemente za međusobno spajanje elemenata drvene konstrukcije, i izradu ležajeva na zidovima. Sva građa mora biti premazana antiinsekticidnim premazom. Građa tehnički suha, kvalitete C24 ili GL24h ovisno o dimenzijama.</t>
    </r>
  </si>
  <si>
    <t>Drvena građa mijene</t>
  </si>
  <si>
    <t xml:space="preserve">Doprema i ugradnja krovnih letvi veličine poprečnog presjeka 5/3 cm. Izvesti iz drvene građe - četinara II klase suhoće u skladu s propisima. Učvrstiti vijcima odgovarajuće duljine. U cijenu stavke uključiti sav potreban materijal, spojni materijal i rad, prethodni premaz sredstvima protiv truljenja i vlage. Sve spojeve izvesti prema pravilima struke. </t>
  </si>
  <si>
    <t xml:space="preserve">Doprema i ugradnja krovnih kontraletvi veličine poprečnog presjeka 5/3 cm. Izvesti iz drvene građe - četinara II klase suhoće u skladu s propisima. Učvrstiti vijcima odgovarajuće duljine. U cijenu stavke uključiti sav potreban materijal, spojni materijal i rad, prethodni premaz sredstvima protiv truljenja i vlage. Sve spojeve izvesti prema pravilima struke. </t>
  </si>
  <si>
    <t>Daščana oplata</t>
  </si>
  <si>
    <t>Krovne letve</t>
  </si>
  <si>
    <t>Krovne kontraletve</t>
  </si>
  <si>
    <t>RADOVI OJAČANJA NOSIVE KONSTRUKCIJE</t>
  </si>
  <si>
    <t>RADOVI OJAČANJA NOSIVE KONSTRUKCIJE UKUPNO</t>
  </si>
  <si>
    <t>Dobava i ugradnja sidara za sidrenje AB ploča iznad svodova u nosive zidove.</t>
  </si>
  <si>
    <t xml:space="preserve">Stavka uključuje dobavu i ugradnju sidara izrađenih od rebraste armature B500B, promjera 14 mm i duljine 2x100 cm. Polovica sidra, 2x50 cm, se ugrađuje u zidu u rupu promjera 24-25 mm koja se zapunjava smjesom za sidrenje na bazi cementa. </t>
  </si>
  <si>
    <t>Obračun po kg čelika i m1 sidrenja.</t>
  </si>
  <si>
    <t>a) rebrasti čelik 14 mm</t>
  </si>
  <si>
    <t>b) sidrenje u zidove</t>
  </si>
  <si>
    <t>Dobava, ugradnja i sidrenje mreža od karbonskih vlakana.</t>
  </si>
  <si>
    <t>Stavka uključuje dobavu i ugradnju alkalo-otporne mreže od karbonskih vlakana, na površini lica zida južnog stubišta u potkrovlju te sidrenje mreža, uključivo sav pomoćni materijal, sve prema uputama proizvođača.</t>
  </si>
  <si>
    <t>Svi proizvodi uključivo trake, mreže, tkanine, užad, reparaturni mort, ljepilo i drugi dijelovi sustava moraju biti kompatibilni proizvodi istog proizvođača. Obračun prema stvarnoj razvijenoj površini na koju je ugrađeno ojačanje, bez uvećanja.</t>
  </si>
  <si>
    <t>Svi dijelovi sustava ojačanja (mreža, uže, mort, epoksidno ljepilo, sidrena smjesa) moraju biti od jednog proizvođača.</t>
  </si>
  <si>
    <t>Obračun po m2 stvarne razvijene površine na koji se ugrađuju mreže, bez dodataka,  i m1 užadi i bušenjem rupe sa sidrenjem.</t>
  </si>
  <si>
    <t>a) karbonske mreže</t>
  </si>
  <si>
    <t>b) karbonsko uže promjera 10 mm</t>
  </si>
  <si>
    <t>c) sidrenje u zid</t>
  </si>
  <si>
    <t>Sanacija postojećih podrumskih zidova.</t>
  </si>
  <si>
    <t>Stavka uključuje sanaciju površine i lokalno zidarsko uređenje postojećih otkopanih podrumskih zidova te pripremu površine za ugradnju hidroizolacije.</t>
  </si>
  <si>
    <t>Po uklanjanju nasipa zidove je potrebno oprati pod tlakom, ukloniti sav dotrajali mort iz sljubnica, po potrebi lokalno zidarski urediti (prezidati/dozidati) te zapuniti sljubnice.</t>
  </si>
  <si>
    <t>Obračun po m2 površine.</t>
  </si>
  <si>
    <r>
      <t>Težina mreže iznosi &gt; 170 g/m</t>
    </r>
    <r>
      <rPr>
        <vertAlign val="superscript"/>
        <sz val="9"/>
        <rFont val="Calibri"/>
        <family val="2"/>
      </rPr>
      <t>2</t>
    </r>
    <r>
      <rPr>
        <sz val="9"/>
        <rFont val="Calibri"/>
        <family val="2"/>
      </rPr>
      <t>, vlačna čvrstoća minimalno 240 k</t>
    </r>
    <r>
      <rPr>
        <sz val="9"/>
        <rFont val="Calibri"/>
        <family val="2"/>
        <scheme val="minor"/>
      </rPr>
      <t>N/m1.</t>
    </r>
  </si>
  <si>
    <t>1. RADOVI RUŠENJA I DEMONTAŽA</t>
  </si>
  <si>
    <t>Opći uvjeti i napomene</t>
  </si>
  <si>
    <t>Pri izvedbi zemljanih radova moraju se u potpunosti primjenjivati postojeći propisi - Pravilnik o zaštiti na radu u građevinarstvu, Građevinske norme i HTZ propisi.</t>
  </si>
  <si>
    <t>Jediničnom cijenom obuhvaćeno je:</t>
  </si>
  <si>
    <t xml:space="preserve"> - sav rad i materijal;</t>
  </si>
  <si>
    <t xml:space="preserve"> - svi prijenosi i prijevozi;</t>
  </si>
  <si>
    <t xml:space="preserve"> - sva potrebna priručna sredstva za izvođenje radova;</t>
  </si>
  <si>
    <t xml:space="preserve"> - potrebne radne skele i platforme;</t>
  </si>
  <si>
    <t xml:space="preserve"> - sva podupiranja i razupiranja ako su potrebna;</t>
  </si>
  <si>
    <t xml:space="preserve"> - zaštitne mjere kod eventualne pojave vode;</t>
  </si>
  <si>
    <t xml:space="preserve"> - održavanje čistoće na vanjskim putevima kroz koje prolazi transport ruševina sa gradilišta.</t>
  </si>
  <si>
    <t>Obračun iskopanih i nasutih količina vršiti u sraslom stanju materijala, a prema postojećim normama GN. Sve koeficijente zbijenosti i rastresitosti obračunati u jediničnoj cijeni radova.</t>
  </si>
  <si>
    <t>Sve stavke rušenja, razgradnji i demontaža uključuju i odvoz otpada na gradsku planirku (deponij) uključivo i plaćanje svih potrebnih taksi za deponiranje otpada na planirku.</t>
  </si>
  <si>
    <t>2. BETONSKI I AB RADOVI</t>
  </si>
  <si>
    <t>Betonske i armirano-betonske radove izvesti prema opisu u troškovniku te u skladu sa Tehničkim propisom za građevinske konstrukcije NN 17/17 i 75/20.</t>
  </si>
  <si>
    <t>Betonske i armirano betonske konstrukcije obuhvaćene ovim troškovnikom moraju zadovoljiti odredbe propisa, u smislu ispunjenja bitnih zahtjeva za građevinu, što uključuje projektiranje, izvođenje radova, uporabljivost, održavanje i druge zahtjeve za betonske konstrukcije, te tehnička svojstva i druge zahtjeve za građevne proizvode namijenjene ugradnji u betonsku konstrukciju.</t>
  </si>
  <si>
    <t>S obzirom na način armiranja, betonske konstrukcije obuhvaćene ovim troškovnikom mogu biti od: nearmiranog betona; armiranog betona; ili prednapetog betona.</t>
  </si>
  <si>
    <t>S obzirom na težinu betona, betonske konstrukcije obuhvaćene ovim troškovnikom mogu biti: s laganim betonom; s običnim betonom; ili s teškim betonom.</t>
  </si>
  <si>
    <t>Elementi betonskih konstrukcija uključeni ovim troškovnikom su: cement, agregat, dodaci betonu, dodaci mortu za injektiranje natega, voda, beton, čelik za armiranje, čelik za prednapinjanje, armatura, gotovi betonski elementi, proizvodi za zaštitu i popravak betonskih konstrukcija, kao i drugi građevni proizvodi koji se ugrađuju u sklopu betonskih konstrukcija.</t>
  </si>
  <si>
    <t>Prije početka rada izvođač je dužan izraditi projekt betonske konstrukcije i dostaviti na odobrenje projektantu konstrukcije i nadzoru. Projekt obuhvaća tehnički opis, proračun nosivosti i uporabljivosti te program kontrole i osiguranja kvalitete.</t>
  </si>
  <si>
    <t>Projekt predgotovljenih ili djelomice predgotovljenih betonskih konstrukcija mora sadržavati i rješenje načina proizvodnje, ugradbe, prijenosa i prijevoza, rasporeda oslonaca, potrebnih podupora i drugih mjera za osiguravanje stabilnosti tijekom ugradbe i spajanja elemenata.</t>
  </si>
  <si>
    <t>Prilikom izvođenja betonske konstrukcije izvođač je dužan pridržavati se projekta betonske konstrukcije i tehničkih uputa za ugradnju i uporabu građevinskih proizvoda, te opisa iz ovog troškovnika.</t>
  </si>
  <si>
    <t>Propisana svojstva i uporabljivost građevinskog proizvoda izrađenog na gradilištu utvrđuje se na način određen projetkom, tehničkim propisom i ovim troškovnikom.</t>
  </si>
  <si>
    <t>Izvođenje betonske konstrukcije mora biti takvo da navedena konstrukcija ima tehnička svojstva i ispunjava zahtijeve određene projektom, tehničkim propisom i ovim troškovnikom.</t>
  </si>
  <si>
    <t>Uvjeti za izvođenje betonske konstrukcije definirani su programom kontrole osiguranja kvalitete koji je sastavni dio glavnog projekta betonske konstrukcije.</t>
  </si>
  <si>
    <t>Održavanje betonskih konstrukcija mora biti takvo, da se tijekom trajanja građevine očuvaju njena tehnička svojstva i ispunjavaju zahtijevi određeni projetkom građevine i tehničkim propisom.</t>
  </si>
  <si>
    <t>beton</t>
  </si>
  <si>
    <t>Tehnička svojstva betona moraju ispunjavati opće i posebne zahtijeve bitne za krajnju namjenu betona i moraju biti specificirana po odredbama HRN EN 206 ili jednakovrijedno, normama na koje ta norma upućuje i odredbama priloga tehničkog propisa.</t>
  </si>
  <si>
    <t>Svojstva očvrslog betona moraju biti specificirana projektom betonske konstrukcije ovisno o uvjetima uporabe.</t>
  </si>
  <si>
    <t>Svojstva svježeg betona specificira izvođač betonskih radova.</t>
  </si>
  <si>
    <t>Kod opasnosti od korozije armature u konstrukcijama izloženim agresivnom okolišu, treba paziti da se ne ugrade betoni s neodgovarajućim cementima, što je specificirano normom HRN EN 197-1 ili jednakovrijedno.</t>
  </si>
  <si>
    <t>Kriterije vodonepropusnosti betona određene su projektom betonske konstrukcije, ovisno o uvjetima njena korištenja, a vodonepropusnost se ispituje prema HRN EN 12390-8 ili jednakovrijedno.</t>
  </si>
  <si>
    <t>Uzimanje uzoraka, priprema uzoraka i ispitivanje svojstava svježeg betona provodi se prema normama niza HRN EN 12350 ili jednakovrijedno, a ispitivanje svojstava očvrslog betona prema normana niza HRN EN 12390 ili jednakovrijedno, a sve kako je regulirano normom HRN EN 13670 ili jednakovrijedno.</t>
  </si>
  <si>
    <t>Sva ugradba betona u ab konstrukcije je obavezno strojna.</t>
  </si>
  <si>
    <t>Jedinična cijena betonskih i ab radova uključuje slijedeće:</t>
  </si>
  <si>
    <t>- dobavna cijena gotovog betona uključujući sve transporte i manipulacije;</t>
  </si>
  <si>
    <t>- sav potreban rad na ugradbi betona;</t>
  </si>
  <si>
    <t>- sve unutarnje pretovare, transporte i manipulacije;</t>
  </si>
  <si>
    <t>- poduzimanje mjera zaštite na radu i drugih mjera;</t>
  </si>
  <si>
    <t>- zaštita betonskih i ab konstrukcija od djelovanja atmosferilija i temperaturnih utjecaja;</t>
  </si>
  <si>
    <t>- ugradba svih potrebnih posebno nespecificiranih elemenata (sidra, ankeri i sl.);</t>
  </si>
  <si>
    <t>- čišćenje nakon završenih radova.</t>
  </si>
  <si>
    <t>armatura</t>
  </si>
  <si>
    <t>Za čelik za armiranje primjenjuju se norme HRN EN 10080-1 do 6 ili jednakovrijedne.</t>
  </si>
  <si>
    <t>Za čelik za prednapinjanje primjenjuju se norme HRN EN 10138-1 do 4 ili jednakovrijedne.</t>
  </si>
  <si>
    <t xml:space="preserve">Tehnička svojstva armature moraju ispinjavati opće i posebne zahtijeve bitne za krajnju namjenu i ovisno o vrsti čelika moraju biti specificirane prema normama nizova </t>
  </si>
  <si>
    <t>Jedinična cijena armiračkih radova uključuje slijedeće:</t>
  </si>
  <si>
    <t>- dobavna cijena gotove armature uključujući sve transporte i manipulacije;</t>
  </si>
  <si>
    <t>- sav potreban rad i alat na ugradbi armature;</t>
  </si>
  <si>
    <t>- postavljanje armature i vezanje, sa podmetačima (plastičnim ili betonskim, cca 4 kom/m2 oplate) i privremenim učvršćivanjem za oplatu;</t>
  </si>
  <si>
    <t>- čišćenje armature od hrđe, masnoća i ostalih nečistoća;</t>
  </si>
  <si>
    <t xml:space="preserve"> - primjena mjera zaštite na radu i drugih važećih propisa.</t>
  </si>
  <si>
    <t>oplata</t>
  </si>
  <si>
    <t>Oplate izvesti prema opisu u troškovniku, planu oplate i detaljima, prema te u skladu sa važećim standardima za izvedbu i materijale.</t>
  </si>
  <si>
    <t xml:space="preserve">Oplatu treba postaviti tako da se nakon betoniranja ne pojavi ni najmanja deformacija konstrukcije. Skidanje oplate izvesti požljivo da ne dođe do oštećenja konstrukcije, naročito rubova, zubaca ili utora. </t>
  </si>
  <si>
    <t>Obračun se vrši prema postojećim normama GN-601 ili jednakovrijednim.</t>
  </si>
  <si>
    <t xml:space="preserve">Oplatu računati u kompletnoj površini konstrukcije bez odbijanja otvora za vrata, prozore, prolaze i  prodore do 1 m2. </t>
  </si>
  <si>
    <t>Podupiranje za sve oplate je u cijeni, visine kako je stavkom troškovnika određeno.</t>
  </si>
  <si>
    <t>Jedinična cijena oplate sadrži:</t>
  </si>
  <si>
    <t>- dobavu svog potrebnog materijala za izvedbu oplate uključujući sve transporte i manipulacije;</t>
  </si>
  <si>
    <t>- sav potreban rad na krojenju i ugradbi oplate;</t>
  </si>
  <si>
    <t>- označavanje, uzimanje mjera na građevini;</t>
  </si>
  <si>
    <t>- močenje ili mazanje oplate (ili limenih kalupa) prije betoniranja;</t>
  </si>
  <si>
    <t>- demontaža oplate, čišćenje, vađenje čavala, sortiranje;</t>
  </si>
  <si>
    <t>- izradu radne skele;</t>
  </si>
  <si>
    <t>- izvedba manjih prodora, utora i udubljenja umetanjem u oplatu blokova od ekspandiranog polistirena ili kutija od drvene oplate, te njihova demontaža;</t>
  </si>
  <si>
    <t>- primjena mjera zaštite na radu i drugih važećih propisa;</t>
  </si>
  <si>
    <t xml:space="preserve"> - čišćenje nakon završetka radova</t>
  </si>
  <si>
    <t>3. TESARSKI RADOVI I FASADNA SKELA</t>
  </si>
  <si>
    <t>Pri izvođenju drvenih konstrukcija i oplata obavezno se pridržavati propisanih normi za projektiranje i izvođenje (tehnički uvjeti).</t>
  </si>
  <si>
    <t>Svi radovi moraju biti izvedeni stručno i solidno prema postojećim propisima, a u skladu sa troškovnikom i projektom. Nekvalitetan materijal mora izvođač o svom trošku ukloniti sa gradilišta.</t>
  </si>
  <si>
    <t>Okov koji se upotrebljava za učvršćenje krovne konstrukcije mora biti kvalitetan, varena mjesta nesagoriva, a sve površine koje ostaju vidljive prije ugrađivanja moraju se dva puta premazati temeljnom bojom.</t>
  </si>
  <si>
    <t>Izvođač mora upotrijebiti materijale koji su predviđeni nacrtom i troškovnikom. Ukoliko izvođač želi promijeniti vrstu materijala mora za isto tražiti odobrenje od investitora, ali isto ne smije ići na štetu kvalitete.</t>
  </si>
  <si>
    <t>Prije početka rada obavezno uzeti mjere na gradilištu.</t>
  </si>
  <si>
    <t>U jediničnoj cijeni pojedine stavke sadržan je sav rad i materijal, uskladištenje, osiguranje od oštećenja, kvara ili krađe, svi prijenosi i prijevozi, tako da je jedinična cijena konačna.</t>
  </si>
  <si>
    <t>Ukoliko se pokaže potreba, mora izvođač izvršiti ispitivanje kvalitete upotrebljenog materijala ili dokazati njihovu kvalitetu.</t>
  </si>
  <si>
    <t>Sve nejasnoće u projektu ili troškovniku mora izvođač razjasniti sa projektantom prije početka rada, te eventualne dopune ili izmjene uvesti u građevinski dnevnik.</t>
  </si>
  <si>
    <t>Obračun radova vrši se prema stvarno izvedenim količinama i prema "Prosječnim normama u građevinarstvu", ukoliko nije pojedinom stavkom troškovnika drugačije određeno.</t>
  </si>
  <si>
    <t>Ukoliko za drvenu građu krovišta nije navedena vrsta drveta, podrazumijeva se crnogorica II klase, razreda čvrstoće C24. Sva drvena građa mora biti prije ugradnje tretirana zaštitnim (antifungicidnim, antiinsekticidnim i dr.) sredstvima.</t>
  </si>
  <si>
    <t>U cijeni izrade krovišta uključeno je i izrada svih detalja u konstrukciji, te svi pomoćni dijelovi konstrukcije sa potrebnim glavnim i pomoćnim (pričvrsnim) materijalima. U jediničnim cijenama uključeni su svi horizontalni i vertikalni transporti.</t>
  </si>
  <si>
    <t>4. OJAČANJA NOSIVE KONSTRUKCIJE</t>
  </si>
  <si>
    <t>Bušenja zidova s promjerima rupa do 25 mm, za rupe duljine do ~120 cm, izvode se s bušilicama male udarne snage (reda veličine 5 J).</t>
  </si>
  <si>
    <t>Bušenje rupa veće duljine ili bitno većeg promjera, mora se izvoditi krunskim bušilicama koje se ne hlade vodom.</t>
  </si>
  <si>
    <t>CFRP su polimeri ojačani karbonskim vlaknima. Na lokacijama definiranim u izvedbenom projektu ugrađuju se CFRP trake, definirane 'gramažom' (g/m2) i širinom, a obračunate po m1 traka.</t>
  </si>
  <si>
    <t>U pojedinoj stavci iskazane su potrebne količine traka prema težini u gramima (gramaži) i širini, te obračunate prema dužini traka). Osim navedene težine u gramima i širina dozvoljeno je nuditi druge težine, ukoliko je zadovoljena količina vlakana 'fibre content', uzimajući u obzir da je proračunska debljina suhe tkanine za trake od 300 g -  0,15, a za trake od 500 g - 0,25. Eventualne veće utroške pomoćnih materijala (priprema površine, ljepljenje i sl.) kod ovih zamjena obavezno uzeti u obzir kod formiranja cijene. Dozvoljena je ugradnja isključivo traka širine minimalno 70% predviđene širine.</t>
  </si>
  <si>
    <t>Trake se ugrađuju na površinu zida/svoda s koje je prethodno uklonjena žbuka, prema tehnologiji koju definira proizvođač sustava za ojačanje. Svi dijelovi sustava moraju biti od istog proizvođača.</t>
  </si>
  <si>
    <t xml:space="preserve">Preko morta se postavljaju trake u epoksidnom ljepilu. Ukoliko je predviđeno nanošenje žbuke preko trake u završni sloj ljepila dodaje se kvarcni pijesak radi boljeg prijanjanja žbuke. </t>
  </si>
  <si>
    <t>Odabir načina montaže traka (u 'morko' ili 'suho') prepušta se izvođaču, uz poštivanje preporuka proizvođača vezanih uz gramažu trake. Pomoćni materijali koji se koriste (reparaturni mortovi, epoksidna ljepila i sl.) dio su sustava koji propisuje proizvođač odabrane vrste traka, te se kod postavljanja traka treba pridržavati uputstava proizvođača.</t>
  </si>
  <si>
    <t>Injekcione smjese kod sidrenja čeličnih ojačanja trebaju biti bubreće smjese na bazi cementa, namjenjene za sidrenje (u zid/beton). Čvrstoća na prijanjanje (za površinu zida) treba biti minimalno 1,2 MPa, a konačna promjena volumena nakon 28 dana manja od 0,3 %.</t>
  </si>
  <si>
    <t>5. ČELIČNE KONSTRUKCIJE</t>
  </si>
  <si>
    <t>ČELIČNA KONSTRUKCIJA</t>
  </si>
  <si>
    <t>Kako bi se osigurala tražena kvaliteta, izrada i montaža konstrukcije mora se povjeriti ovlaštenoj izvođačkoj firmi, koja je poznata po već izvedenim sličnim građevinama, i koja posjeduje opremu i stručni kadar za kvalitetnu izradu iste.</t>
  </si>
  <si>
    <t>Cijenom moraju biti obuhvaćeni svi troškovi vezani na nabavu i izradu (u skladu s projektnom dokumentacijom) kao i svi ostali potrebni (direktni i indirektni) radovi, postupci i materijali neophodni za ispravnu izvedbu i montažu konstrukcije.</t>
  </si>
  <si>
    <t>Tehničkom dokumentacijom – nacrtima i statičkim proračunom predviđena je vrsta i kvaliteta materijala za izradu konstrukcije i veznih sredstava što izvoditelj mora strogo poštovati.</t>
  </si>
  <si>
    <t>Izvođač radova (izrada konstrukcije i montaža) dužan je prije početka radova na izradi  (montaži) predočiti nadzornom inženjeru:</t>
  </si>
  <si>
    <t>-planove slijeda zavarivanja s točnim odredbama u pogledu rasporeda i redoslijeda svakog pojedinog vara,</t>
  </si>
  <si>
    <t>- plan montaže konstrukcije s detaljno razrađenim načinom i slijedom montaže,</t>
  </si>
  <si>
    <t>- plan montaže mora biti prihvaćen i ovjeren od strane projektanta.</t>
  </si>
  <si>
    <t>- ateste materijala namijenjenih izradi konstrukcije,</t>
  </si>
  <si>
    <t>- ateste za spojni materijal (vijci i elektrode za zavarivanje),</t>
  </si>
  <si>
    <t>- ateste zavarivača koji su radili na izradi čelične konstrukcije, vremenski obnovljene prema propisima.</t>
  </si>
  <si>
    <t xml:space="preserve"> Osim navedenog izvođač mora imati:</t>
  </si>
  <si>
    <t>- brojeve atesta materijala (osnovnog i spojnog) iz kojeg je  svaka pojedina pozicija izrađena,</t>
  </si>
  <si>
    <t>- oznake varova s brojem atesta elektroda i oznakom zavarivača koji je to zavario.</t>
  </si>
  <si>
    <t>Limovi koji se ugrađuju trebaju biti kontrolirani ultrazvukom na dvoslojnost, a nadzorni inženjer može u slučaju sumnje na kvalitetu materijala, dati da se pojedini limovi ponovo ispitaju.</t>
  </si>
  <si>
    <t>Izvođač radova mora dati projekt tehnologije zavarivanja, imajući u vidu raspoloživu opremu i debljine elemenata koji se spajaju, a kao rezultat se moraju pojaviti spojevi čija mehanička svojstva nisu slabija od osnovnog materijala. Naročitu pozornost potrebno je obratiti na žilavost, te na koncentraciju napona uslijed zavarivanja, koji se moraju svesti na neznatne veličine. Tehnološki  postupak je dio tehničke dokumentacije i prije početka radioničkih radova mora imati suglasnost projektanta i nadzornog inženjera.</t>
  </si>
  <si>
    <t>Prije početka zavarivanja izvoditelj je dužan pregledati sve površine predviđene za zavarivanje i osigurati da iste budu metalno čiste, bez bilo kakve prljavštine, rđe ili masnoće.</t>
  </si>
  <si>
    <t>Tijekom postupka zavarivanja izvoditelj je dužan primjeniti postupak sprečavanja termički uzrokovanog deformiranja.</t>
  </si>
  <si>
    <t>Zavarivanje na temperaturama zraka nižim od 0° C nije dopušteno.</t>
  </si>
  <si>
    <t xml:space="preserve">Kompletan postupak izrade elemenata i sklopova mora osigurati projektirane dimenzije konstrukcije uvažavajući dopuštene tolerancije u skladu sa HRN EN 1090-1 i HRN EN 1090-2 ili jednakovrijedno.  </t>
  </si>
  <si>
    <t>Poslije završenih radioničkih radova vrši se geometrijska i ostale dogovorene kontrole, te po potrebi izvršiti probno sklapanje, o čemu je nadzorni inženjer dužan voditi zapisnik i ovjeriti ga.</t>
  </si>
  <si>
    <t>Pri otpremi na gradilište izvođač je dužan ispitati mogućnost transporta s obzirom na gabarite sklopova, kako se konstrukcija ili njeni dijelovi ne bi deformirali prilikom transporta.</t>
  </si>
  <si>
    <t>Skladištenje mora biti tako pripremljeno da konstrukcija ne leži na tlu , već na drvenoj grednoj podlozi i da osigurava jednostavan pristup kod pronalaženja pozicija, njihova dizanja i transporta do mjesta ugradnje.</t>
  </si>
  <si>
    <t>Izvedba čelične konstrukcije treba biti u skladu sa statičkim proračunom, zahtjevima i uvjetima iz Tehničkog opisa i Programa kontrole te osiguranja kvalitete, kao i u skladu sa svim važećim zakonima, propisima i normama za čelične konstukcije.</t>
  </si>
  <si>
    <t>HRN EN 10025-1 (2, 3, 4, 5, 6) ili jednakovrijedno</t>
  </si>
  <si>
    <t>HRN EN 10034 ili jednakovrijedno</t>
  </si>
  <si>
    <t>HRN EN 10024 ili jednakovrijedno</t>
  </si>
  <si>
    <t>HRN EN 10210–1 (2) ili jednakovrijedno</t>
  </si>
  <si>
    <t>HRN EN 10219-1 (2) ili jednakovrijedno</t>
  </si>
  <si>
    <t>HRN EN 439 ili jednakovrijedno</t>
  </si>
  <si>
    <t>HRN EN 440 ili jednakovrijedno</t>
  </si>
  <si>
    <t>HRN EN 499 ili jednakovrijedno</t>
  </si>
  <si>
    <t>HRN EN 1011-1 ili jednakovrijedno</t>
  </si>
  <si>
    <t>HRN EN 1011-2 ili jednakovrijedno</t>
  </si>
  <si>
    <t>EN 29692 ili jednakovrijedno</t>
  </si>
  <si>
    <t>HRN EN 287-1 ili jednakovrijedno</t>
  </si>
  <si>
    <t>HRN EN 288-1 ili jednakovrijedno</t>
  </si>
  <si>
    <t>HRN EN 288-3 ili jednakovrijedno</t>
  </si>
  <si>
    <t>HRN EN 288-8 ili jednakovrijedno</t>
  </si>
  <si>
    <t>HRN EN 970 ili jednakovrijedno</t>
  </si>
  <si>
    <t>HRN EN 1290 ili jednakovrijedno</t>
  </si>
  <si>
    <t>HRN EN 1714 ili jednakovrijedno</t>
  </si>
  <si>
    <t>HRN EN 12062 ili jednakovrijedno</t>
  </si>
  <si>
    <t>HRN EN 25817 (ISO 5817) ili jednakovrijedno</t>
  </si>
  <si>
    <t>DIN EN ISO 13918  ili jednakovrijedno</t>
  </si>
  <si>
    <t>DIN EN ISO 14555 ili jednakovrijedno</t>
  </si>
  <si>
    <t>DIN 6914, 6915, 6916 ili jednakovrijedno</t>
  </si>
  <si>
    <t>HRN EN 1090-1; HRN EN 1090-2 ili jednakovrijedno</t>
  </si>
  <si>
    <t>2. ANTIKOROZIVNA ZAŠTITA</t>
  </si>
  <si>
    <t>Konstrukcija se isporučuje antikorozijski zaštićena. Antikorozijska zaštita mora biti usklađena sa HRN EN ISO 12944-1 (do 5) ili jednakovrijedno</t>
  </si>
  <si>
    <t xml:space="preserve">Predviđena okolina: C1 (blago korozivni uvjeti) prema HRN EN ISO 12944 ili jednakovrijedno
</t>
  </si>
  <si>
    <t>Priprema površine:</t>
  </si>
  <si>
    <t>Sve čelične profile potrebno je abrazivno očistiti na kvalitetu Sa 21/2 sukladno HRN EN ISO 8501-1 ili jednakovrijedno, te neposredno zaštititi primerom.</t>
  </si>
  <si>
    <t>Sustav zaštite:</t>
  </si>
  <si>
    <t>Specifikacija prema HRN EN ISO 12944-5 ili jednakovrijedno:</t>
  </si>
  <si>
    <t>1 × 60  mm 2k epoksi temelj</t>
  </si>
  <si>
    <t>1 × 60  mm 2k epoksi međusloj</t>
  </si>
  <si>
    <t>1 × 40  mm 2k završni poliuretanski sloj</t>
  </si>
  <si>
    <t>Ukupna minimalna debljina suhog filma 160 mm</t>
  </si>
  <si>
    <t>Ostali uvjeti:</t>
  </si>
  <si>
    <t xml:space="preserve"> - trajnost sistema zaštite mora biti iznad 15 godina (za okolinu C4 / HRN EN ISO 12944 ili jednakovrijedno);</t>
  </si>
  <si>
    <t xml:space="preserve"> - proizvođač boja mora osigurati tehnički "support" pri pripremi površine i ugradnji materijala;</t>
  </si>
  <si>
    <t xml:space="preserve"> - premazi moraju biti predviđeni za rad kistom te špricom.</t>
  </si>
  <si>
    <t>3. MONTAŽA ČELIČNE KONSTRUKCIJE</t>
  </si>
  <si>
    <t xml:space="preserve">Radionička izrada i montaža čelične konstrukcije mora biti u skladu sa HRN EN 1090-1 i HRN EN 1090-2 ili jednakovrijedno.  </t>
  </si>
  <si>
    <t>Izvođač montažnih radova je obavezan izraditi projekt montaže, koji mora biti ovjeren od strane projektanta i nadzornog inženjera.</t>
  </si>
  <si>
    <t>Za sve montažne nastavke važe opći uvjeti za izradu konstrukcije.</t>
  </si>
  <si>
    <t>Svakodnevno se mora voditi građevinski dnevnik. Mora biti osiguran brz i siguran transport svih elemenata do mjesta rada.</t>
  </si>
  <si>
    <t>Izvođač montažnih radova je dužan da pri organiziranju radova poduzme sve potrebne mjere za zaštitu postojećih javnih uređaja, objekata i postrojenja koji se nalaze na gradilištu, kao i zaštitu radnika.</t>
  </si>
  <si>
    <t>4. TEHNIČKI PREGLED ČELIČNE KONSTRUKCIJE</t>
  </si>
  <si>
    <t>Tehnički pregled čelične konstrukcije obavlja se poslije završene montaže.</t>
  </si>
  <si>
    <t>Održavanje čelične konstrukcije:</t>
  </si>
  <si>
    <t xml:space="preserve"> - redovni pregled svake godine</t>
  </si>
  <si>
    <t xml:space="preserve"> - glavni pregled svake 10-te godine</t>
  </si>
  <si>
    <t xml:space="preserve"> - dopunski pregled prema potrebi</t>
  </si>
  <si>
    <t>Održavanje se vrši radi sigurnosti čelične konstrukcije.</t>
  </si>
  <si>
    <t>razna crna bravarija</t>
  </si>
  <si>
    <t>Prije izvedbe mjere svih stavki treba obvezno kontrolirati na licu mjesta.</t>
  </si>
  <si>
    <t>Svi vidljivi dijelovi bravarije moraju biti završno bojani alkidnim naličem za bolju obradu, što uključuje: čišćenje od hrđe, po potrebi; ličenje očišćenih mjesta antikorozivnim naličem u 2 premaza; kitanje pukotina i rupica odgovarajućim kitom; ličenje alkidnom bojom u 2 premaza; ličenje alkidnom lak bojom.</t>
  </si>
  <si>
    <t>Svi vijci i spojna sredstva moraju obvezno biti od nehrđajućeg materijala, izvedeno u antikorozivnoj izvedbi.</t>
  </si>
  <si>
    <t>ČELIČNA KONSTRUKCIJA UKUPNO</t>
  </si>
  <si>
    <t>Dobava materijala, radionička izrada, antikorozivna zaštita i montaža čeličnih profila konstrukcije okna dizala. Izvedba u kvaliteti EXC2.</t>
  </si>
  <si>
    <t>Izvedba radova prema tehnologiji koju će propisati projektant konstrukcije.</t>
  </si>
  <si>
    <t>Materijal kvalitete S235. Kategorija korozivnosti C1.</t>
  </si>
  <si>
    <t>Izvođač je dužan izraditi radioničku dokumentaciju te istu dostaviti na ovjeru projektantu.</t>
  </si>
  <si>
    <t>Stavka obuhvaća:</t>
  </si>
  <si>
    <t xml:space="preserve"> - sav potreban spojni materijal (onaj koji se koristi pri montaži mora biti razvrstan po klasama, tipovima i dimenzijama, te upakiran u sanduke s vidljivim oznakama);</t>
  </si>
  <si>
    <t xml:space="preserve"> - utovar u vozila, transport do gradilišta, istovar i sortiranje konstrukcije na mjesto u dogovoru s investitorom ili nadzornim inženjerom;</t>
  </si>
  <si>
    <t xml:space="preserve"> - montaža konstrukcije (izvoditelj montažnih radova obavezan je projektantu dostaviti na ovjeru projekt montaže);</t>
  </si>
  <si>
    <t xml:space="preserve"> - antikorozivnu zaštitu čelične konstrukcije.</t>
  </si>
  <si>
    <t>U cijeni komplet navedeno.</t>
  </si>
  <si>
    <t>Konstrukciju  treba u svemu izvesti prema statičkom proračunu, tehničkom opisu i radioničkim nacrtima te montirati prema nacrtima montaže.</t>
  </si>
  <si>
    <t>Uključivo izradu i montažu konstrukcije, potrebne skele i dizalice za montažu, sva spojna sredstva, sidreni i ležajni detalji, profili i limovi. Konstrukcija, detalji i spojna sredstva po statičkom proračunu.</t>
  </si>
  <si>
    <t>Po kg montirane konstrukcije.</t>
  </si>
  <si>
    <t>U svemu prema geometriji izmjerenoj na licu mjesta i zahtjevima iz projekta konstrukcije.</t>
  </si>
  <si>
    <t>Dobava materijala, radionička izrada, antikorozivna zaštita i montaža čeličnih limova konstrukcije stubišta. Izvedba u kvaliteti EXC2.</t>
  </si>
  <si>
    <t>Dobava materijala, radionička izrada, antikorozivna zaštita i montaža čeličnih profila konstrukcije krova. Izvedba u kvaliteti EXC3.</t>
  </si>
  <si>
    <t xml:space="preserve">Dobava materijala, radionička izrada, antikorozivna zaštita i montaža čeličnih T profila dimenzije 60x40 mm debljine stijenke 10 mm konstrukcije svjetlika u podu potkrovlja iznad Zlatne dvorane i iznad južnog stubišta. Izvedba u kvaliteti EXC2. </t>
  </si>
  <si>
    <t>Izvedba radova prema tehnologiji koju će propisati projektant konstrukcije. Osobito pažljivo izvoditi u svjetliku zlatne dvorane ispod kojeg su visokodekorirani  završni vijenci na zrcalnom svodu.</t>
  </si>
  <si>
    <t>a) konstrukcija svjetlika iznad Zlatne dvorane</t>
  </si>
  <si>
    <t>b) konstrukcija svjetlika iznad južnog stubišta</t>
  </si>
  <si>
    <t>Adaptacija ležaja čelične rešetke iznad Zlatne dvorane prema izvedbenom detalju. Potrebno je korigirati visinu UPN profila (stupova) ugrađene uz zidove Zlatne dvorane, što uključuje rezanje vrha profila na licu mjesta i antikorozivnu zaštitu) te spustiti čeličnu pločicu na vrh zida, što uključuje odvijanje vijaka, rezanje postojeće pločice sa UN profila i njeno varenje na novoj visini, obradu svih varova i ponovno nanošenje zaštitnih i završnih premaza. Rad izvoditi pažljivo sukcesivno, uz zaštitu drvenih elemenata stropa prilikom rezanja i varenja.</t>
  </si>
  <si>
    <t>Obračun po komadu ležajeva.</t>
  </si>
  <si>
    <t>Dobava materijala, radionička izrada, antikorozivna zaštita i montaža čelične potkonstrukcije staklenih stijena u potkovlju, stavka V16,17,18. Izvedba u kvaliteti EXC2.</t>
  </si>
  <si>
    <t xml:space="preserve">Adaptacija ležaja </t>
  </si>
  <si>
    <t>Podbetoniravanje temelja</t>
  </si>
  <si>
    <t>A.1.10.</t>
  </si>
  <si>
    <t>TROŠKOVNIK GRAĐEVINSKIH I OBRTNIČKIH RADOVA UKUPNO</t>
  </si>
  <si>
    <t>RADOVI RUŠENJA I DEMONTAŽE</t>
  </si>
  <si>
    <t>RADOVI RUŠENJA I DEMONTAŽE UKUPNO:</t>
  </si>
  <si>
    <t>Demontaža instalacija spremnika za gorivo</t>
  </si>
  <si>
    <t>Obračun za komplet</t>
  </si>
  <si>
    <t>Uklanjanje spremnika goriva iz podrumske prostorije sprinkler stanice</t>
  </si>
  <si>
    <t xml:space="preserve">Obračun po komadu spremnika.   </t>
  </si>
  <si>
    <t xml:space="preserve">Demontaža spremnika za gorivo iz podrumske prostorije sprinkler stanice. Stavka uključuje pažljivu demontažu i odvoz na odlagalište spremnika goriva koji nisu u funkciji, ali se ne može isključiti mogućnost da sadrže naftu. Njihov odvoz bez rezanja na manje dijelove nije moguć zbog čega je potrebno predvidjeti sve sigurnosne predradnje prije rezanja (punjenje pijeskom ili sl), te kasniji odvoz i deponiranje na za to predviđene lokacije svih dijelova. Stavka uključuje i demontažu svega spojnog i pričvrsnog materijala.
Stavka uključuje usitnjavanje na manje komade, vertikalni i horizontalni transport,  utovar i odvoz na deponij.
</t>
  </si>
  <si>
    <t>Demontaža svih strojarskih, elektro i ostalih instalacija unutar prostorije sprinkler stanice (osim tehnike fontane) sa usitnjavanjem i zbrinjavanjem na odgovarajućem odlagalištu. Stavka ne uključuje spremnike za gorivo (obračunato u posebnoj stavci).    Stavka uključuje i demontažu svega spojnog i pričvrsnog materijala. Stavka uključuje usitnjavanje na manje komade, vertikalni i horizontalni transport,  utovar i odvoz na deponij.</t>
  </si>
  <si>
    <t>Demontaža čeličnog stubišta iz sprinkler stanice</t>
  </si>
  <si>
    <t xml:space="preserve">Demontaža čeličnog stubišta iz prostora sprinkler stanice.  Stavka uključuje demontažu svih elemenata, uključivo i sveg pričvrsnog materijala i rukohvata, ograde i ostalih zaštitnih elemenata. Stubište sa 8 gazišta širine 25 cm i 9 visina 18,66 cm demontira se u potpunosti. Stavka uključuje usitnjavanje , vertikalni i horizontalni transport te utovar i odvoz na deponij.  </t>
  </si>
  <si>
    <t>Stavka uključuje i izvedbu penjalica  na zidu. Izvodi se  10 komada na razmaku 30 cm sa svim učvršćenjima u beton.</t>
  </si>
  <si>
    <t>Obračun po m2 OSB ploča i m3 drvene građe.</t>
  </si>
  <si>
    <t>a) drvene grede 10/10 cm</t>
  </si>
  <si>
    <t>b) OSB ploče d= 22 mm</t>
  </si>
  <si>
    <t>c) geotekstil</t>
  </si>
  <si>
    <t>Dobava i postava PVC folije za zaštitu otvora na pročeljima. Folija se pričvršćuje obostrano na drvene doprozornike  i dovratnike ljepljivim trakama koje su u cijeni stavke.
Uključiti i uklanjanje zaštite i odvoz na deponiju nakon završetka radova.</t>
  </si>
  <si>
    <t>Zaštita PVC folijama na prozorima</t>
  </si>
  <si>
    <t>Obračun po m2 otvora.</t>
  </si>
  <si>
    <t>a) postava zaštite</t>
  </si>
  <si>
    <t>b) uklanjanje zaštite</t>
  </si>
  <si>
    <t>Izrada elaborata sudskog vještaka</t>
  </si>
  <si>
    <t xml:space="preserve">Izrada elaborata od ovlaštenog sudskog vještaka o stanju susjednih građevina (Opatička ulica 8 i 12) prije početka izvođenja građevinskih radova. 	</t>
  </si>
  <si>
    <t>radnik vkv</t>
  </si>
  <si>
    <t>Razne pripomoći kod izrade instalaterskih radova i montaže opreme u vidu prijenosa materijala, ugradbi raznih elemenata, razna štemanja i probijanja, krpanja i zatvaranja po polaganju instalacija i sl.,  i sve druge nespecificirane građevinske radove koje je potrebno izvesti uz odobrenje nadzoranog inženjera, a što se nije mogli obračunati na drugačiji način. Stvarni utrošak rada i materijala pravdati putem građevinskog dnevnika.</t>
  </si>
  <si>
    <t>Štemanje šliceva i prodora</t>
  </si>
  <si>
    <t>a) prodori &lt;20x20 cm</t>
  </si>
  <si>
    <t>b) podrori &gt;20x20 cm</t>
  </si>
  <si>
    <t>c) šlicevi do 10x10 cm</t>
  </si>
  <si>
    <t>Potrebno štemanje raznih šliceva i prodora za potrebe instalatera u zidovima i podovima.  Stavka uključuje usitnjavanje ruševina, vertikalni i horizontalni transport te utovar i odvoz na deponij. Izvesti pažljivo kako se ne bi oštetili dijelovi konstrukcije i susjedne plohe koji se ne ruše.</t>
  </si>
  <si>
    <t>Obračun po kom prodora ili m1 šlica.</t>
  </si>
  <si>
    <t>Zatvaranje raznih šliceva i prodora u zidovima</t>
  </si>
  <si>
    <t xml:space="preserve">Zatvaranje raznih šliceva i prodora u zidovima. Izvesti cementnim mortom ili mikrobetonom C25/30. Uključivo potrebna oplata za zatvaranje i podupiranje iste. Male količine i sva otežanja u cijeni. </t>
  </si>
  <si>
    <t>Demontaža, popravak i ponovna montaža metalnih zaštitnih rešetki oznake  R1- R5</t>
  </si>
  <si>
    <t>Demontaža metalnih zaštitnih rešetki. Rešetku je nakon demontaže potrebno popraviti kako bi se mogla ponovno ugraditi ( četkanje, brušenje, ponovna antikorozivna zaštita i bojanje, popravak ili zamjena oštećenih dijelova). Stavka uključuje demontažu, popravak,  odlaganje i štićenje do ponovne montaže te ponovnu montažu zajedno sa svim potrebnim spojnim i pričvrsnim materijalom.</t>
  </si>
  <si>
    <t>OGRADA JUŽNOG STUBIŠTA_ prema shemi O1
Obnova unutarnje kovane ograde južnog stubišta, visine 108cm, duljina prizemlje-1. kat 12.9m, duljina 1.kat-2.kat 14.6m. Sastoji se iz osnovnih vertikalnih elemenata 2x2cm na razmaku 90cm (bočno sidreni u krak stubišta stiliziranim elementom, u podeste sidreni s gornje strane), tri elementa koji prate kosinu stubišta/horizontalu podesta (gornji nosi rukovat, preostala dva iz dvostrukih elementa presjeka 2x0.4cm) i ispune geometrijskog uzorka iz kosih/horizontalnih i vertikalnih elemenata 2x2cm sa središnjim volutnim ukrasom. Drveni rukohvat na vrhu ograde zasebno obračunat. Stavka uključuje čišćenje pjeskarenjem, izradu i ugradnju eventualno nedostajućih dijelova iz istog materijala, antikorozivnu zaštitu te završnu obradu bojom za metal u tonu po izboru projektanta. Uključivo i sve spojne elemente na obodne konstrukcije. Uključivo sav potreban rad, materijal, alat i pribor kao i izradu uzoraka. Rad djelomično na visini, uračunati potrebnu skelu/binu i zaštitnu opremu. Izvesti prema pravilima struke i u dogovoru s projektantom i konzervatorskim nadzorom. Mjere provjeriti u naravi. Obračun po komadu.</t>
  </si>
  <si>
    <t>Ograde</t>
  </si>
  <si>
    <t>Ograda sjevernog stubišta prema oznaci sheme O2</t>
  </si>
  <si>
    <t>Izrada, doprema i montaža nove ograde sjevernog stubišta.</t>
  </si>
  <si>
    <t>a) ograda</t>
  </si>
  <si>
    <t>b) rukohvat</t>
  </si>
  <si>
    <t>Ograda u sjevernom podrumu prema oznaci sheme O3</t>
  </si>
  <si>
    <r>
      <t xml:space="preserve">Izrada, doprema i montaža rukohvata stubišta iz 2. kata u potkrovlje. Izvesti sa skrivenim metalnim nosačem konzolno učvršćenim u zid.
Stavka uključuje i izvedbu drvenog rukohvata </t>
    </r>
    <r>
      <rPr>
        <sz val="10"/>
        <rFont val="Aptos Narrow"/>
        <family val="2"/>
      </rPr>
      <t>Ø</t>
    </r>
    <r>
      <rPr>
        <sz val="11.5"/>
        <rFont val="Calibri"/>
        <family val="2"/>
      </rPr>
      <t xml:space="preserve">3 </t>
    </r>
    <r>
      <rPr>
        <sz val="10"/>
        <rFont val="Calibri"/>
        <family val="2"/>
      </rPr>
      <t>cm sa ugrađenom led trakom. Sve  iz ravnih i savijenih elemenata.</t>
    </r>
  </si>
  <si>
    <t>Sve elemente ugradnje i sidrenja, zavšne obrade , spojni i pričvrsni materijal uključiti u cijenu.  Ugradnja u nosivu konstrukciju u skladu s uputama proizvođača sistema i radioničkoj dokumentaciji izvođača.
Prije izrade potrebno od strane izvođača radova radioničke nacrte, odgovarajuće uzorke profila, okova i pribora, završne obrade ovjeriti od strane glavnog projektanta, sve uključeno u jediničnu cijenu stavke.</t>
  </si>
  <si>
    <t>Izrada, doprema i montaža novih ograda  ispred 3 lučna prozora u centralnom stubištu na 2. katu (uz stavke P7). Ograda se izvodi od punih prozirnih polikarbonatnih ploča s obostranom UV zaštitom debljine 8 mm. Ograda se  montira uz unutarnja krila prozora u špaleti i u bočne čelične profile (RAL 9016 mat) visine 100 cm, utor visine 80cm. mehanizam mora  omogućiti laku demontažu i ponovnu montažu zbog otvaranja i čišćenja prozora.</t>
  </si>
  <si>
    <t>a) ograda središnjeg svjetlika O7</t>
  </si>
  <si>
    <t>b) ograda galerije prema zapadu O6</t>
  </si>
  <si>
    <t>Ograde uz južni svjetlik prema shemi O8</t>
  </si>
  <si>
    <t>Izrada, doprema i montaža ograde uz  južni svjetlik u potkrovlju. Ograda se sastoji od gornje i donje horizontalne prečke i vertikalne ispune na razmaku 14cm. Svi elementi od flaha 40x6mm. vi elementi pocinčani i završno obrađeni u boju za metal.</t>
  </si>
  <si>
    <t>Obloga stepenica iz 2. kata u potkrovlje</t>
  </si>
  <si>
    <t>Obloga stepenica prema galeriji u zlatnoj dvorani</t>
  </si>
  <si>
    <t>Dobava, doprema materijala te obloga gazišta stubišta iz 2. kata u potkrovlje. Izvodi se obloga dva kraka (iz S i J pretprostora), jedan krak s kružnim početnim stubama prema potkrovlju. Obloga iz punog drva, hrast, gustoća min 650 kg/m3 uključivo sa  završna obrada po odobrenom uzorku.</t>
  </si>
  <si>
    <t>a) gazište 28x222 cm</t>
  </si>
  <si>
    <t>Prodori u zidanim zidovima</t>
  </si>
  <si>
    <t>Izvedba prodora u zidanim zidovima za ugradnu dvosmjernih rasteretnih rešteki prema dimenzijama iz projekta.</t>
  </si>
  <si>
    <t>Stavka uključuje usitnjavanje ruševina, vertikalni i horizontalni transport te utovar i odvoz na deponij. Izvesti pažljivo kako se ne bi oštetili dijelovi konstrukcije i susjedne plohe koji se ne ruše.</t>
  </si>
  <si>
    <t>Obračun po kom prodora.</t>
  </si>
  <si>
    <t>Zidarska obrada otvora nakon izvedbe novog prodora u zidanim zidovima. Otvor je potrebno obraditi i prilagoditi dimenzijama iz projekta.  Zidarska obrada podrazumijeva grubu obradu špaleta, ravnanjem rupa i novo zidanih dijelova građevinskim materijalom, koje su nakon faze sušenja, spremni za završnu obradu ili ugradnju bravarskih stavki.</t>
  </si>
  <si>
    <t>Zidarska obrada otvora</t>
  </si>
  <si>
    <t>Izrada, doprema i montaža elemenata čajne kuhinje - samo donji elementi: korpusi iveral 18mm, fronte MDF lakirani mat 19mm, radna ploča laminam ili kompakt ploča, debljina 12 mm.
Stavka uključuje i kompletnu nabavu oprema: ugradbeni hladnjak, ugradbena perilica posuđa, indukcijska ploča na radnoj ploči, sudoper granitni nadgradni s jednoručnom inox slavinom; sokl, okov (skrivene spojnice, ladice, fronte bez ručki - horiz. L profili za otvaranje).</t>
  </si>
  <si>
    <t>b) ugradbeni hladnjak</t>
  </si>
  <si>
    <t>c) ugradbena perilica posuđa</t>
  </si>
  <si>
    <t>d) indukcijska ploča</t>
  </si>
  <si>
    <t>e) sudoper granitni nadgradni s jednoručnom inox slavinom</t>
  </si>
  <si>
    <t>Obračun za komad uređaja i komplet drvenih elemenata</t>
  </si>
  <si>
    <t>a) drveni elementi čajne kuhinje sa rubnim završetcima i okovom te radnom plohom i soklom</t>
  </si>
  <si>
    <t>U cijenu uključeno bandažiranje i gletanje spojeva  i priprema za izvedbu soboslikarskih radova. Stavka obuhvaća nabavu svog potrebnog materijala, dovoz te sav potreban rad ljudi i strojeva i korištenje radnih skela.</t>
  </si>
  <si>
    <t>Maske parapetnih ovlaživača</t>
  </si>
  <si>
    <t>Napomena: sanacija pročelja, vučenih profilacija i rustike na pročeljima opisani i obračunati u zidarsko fasaderskim radovima.</t>
  </si>
  <si>
    <t>Razgradnja zidanog zida visine 220 cm u podrumu uz korištenje odgovarajućih alata. Stavka uključuje i rušenje obloga kojima je obložen element koji se ruši i rušenje manjih betonskih dijelova unutar zida kao nadvoj. Stavka uključuje usitnjavanje ruševina, vertikalni i horizontalni transport,  utovar i odvoz na deponij. Izvesti pažljivo kako se ne bi oštetili dijelovi konstrukcije i susjedne plohe koji se ne ruše.</t>
  </si>
  <si>
    <t>Razgradnja postojećih slojeva poda sjevernog podruma</t>
  </si>
  <si>
    <t>Razgradnja postojećih slojeva poda sjevernog podruma. Slojevi poda uključuju završnu podnu oblogu ( keramičke pločice)  estrih cca 5cm, hidroizolacija, armirana betonska podloga cca 10cm. Stavka uključuje usitnjavanje ruševina, vertikalni i horizontalni transport te utovar i odvoz na deponij. Izvesti pažljivo kako se ne bi oštetili dijelovi konstrukcije i susjedne plohe koji se ne ruše.</t>
  </si>
  <si>
    <t>Iskopi u sjevernom dijelu podruma za zavojito stubište</t>
  </si>
  <si>
    <t>Iskopi u prizemlju</t>
  </si>
  <si>
    <t>Stavka uključuje pažljivi ručni i/ili strojni iskop zemlje u podrumu za proširenje prostorije u kojoj je bilo smješteno zavojito stubište, temelje stubišta i okno dizala te iskop do projektirane kote nakon što se ukone svi postojeći slojevi. Tlo B/C kategorije. Pažljivi rad kod iskopa s obzirom na nepoznate uvjete ispod nivoa terena i neposredno uz temelje zgrade. Privremeno deponiranje manjeg dijela dijela materijala na gradilištu radi ponovne ugradnje, te odvoz preostalog materijala na odlagalište.</t>
  </si>
  <si>
    <t>Stavka uključuje pažljivi ručni i/ili strojni iskop zemlje u prizemlju+do projektirane kote nakon što se uklone svi postojeći slojevi. Tlo B/C kategorije. Pažljivi rad kod iskopa s obzirom na nepoznate uvjete ispod nivoa terena i neposredno uz temelje zgrade. Privremeno deponiranje manjeg dijela dijela materijala na gradilištu radi ponovne ugradnje, te odvoz preostalog materijala na odlagalište.</t>
  </si>
  <si>
    <t>Razgradnja postojećih slojeva poda 2. kata ispred sjevernog stubišta iznad AB ploče. Slojevi koji se ruše iznad ploče su drvene gredice, između je šuta, na njima daske. Završna obloga je prethodno uklonjena. Stavka uključuje usitnjavanje ruševina, vertikalni i horizontalni transport te utovar i odvoz na deponij. Izvesti pažljivo kako se ne bi oštetili dijelovi konstrukcije i susjedne plohe koji se ne ruše.</t>
  </si>
  <si>
    <t>Razgradnja zidanog zida u podrumu za izvedbu stubišta iz prostora spremišta uz korištenje odgovarajućih alata. Stavka uključuje i rušenje obloga kojima je obložen element koji se ruši i rušenje manjih betonskih dijelova unutar zida kao nadvoj. Stavka uključuje usitnjavanje ruševina, vertikalni i horizontalni transport,  utovar i odvoz na deponij. Izvesti pažljivo kako se ne bi oštetili dijelovi konstrukcije i susjedne plohe koji se ne ruše.</t>
  </si>
  <si>
    <t xml:space="preserve">Razgradnja  u podrumu za izvedbu stubišta </t>
  </si>
  <si>
    <t>c) krovni pozori 114/160 cm</t>
  </si>
  <si>
    <t>e) ventilacijski dimnjak</t>
  </si>
  <si>
    <t>d) krovni pozori 66-78/118 cm</t>
  </si>
  <si>
    <t>Demontaža staklenog crijepa na krovu glavnog krila. Stavka uključuje pažljivu demontažu zajedno sa svim spojnim i pričvrsnim materijalom te odlaganje na mjesto koje odredi investitor. Stakleni crijep je potrebno pažljivo skladištiti i zaštititi što je uključeno u cijenu stavke.</t>
  </si>
  <si>
    <t>Demontaža pokrova trijema istočnog ulaza</t>
  </si>
  <si>
    <t xml:space="preserve">Demontaža svih elemenata limenog pokrova trijema istočnog ulaza.
 Stavka uključuje demontažu sveg spojnog i pričvrsnog materijala te kompletne potkonstrukcije. Stavka uključuje, vertikalni i horizontalni transport,  utovar i odvoz na deponij. Stavka uključuje i demontažu tipskih snjegobrana učvršćenih za pokrov.
 </t>
  </si>
  <si>
    <t>Razgradnja žbuke na postojećim zidovima, sa svim podložnim slojevima do nosive konstrukcije kako bi se zidovi mogli pripremiti za izvedbu novih slojeva prema projektu.  Žbuka ne uklanja na mjestima zidnih oslika, novoizvedenih frcm i torkret završnih slojeva te AB zidova.</t>
  </si>
  <si>
    <t>Razgradnja žbuke na postojećim svodovima i strpovima</t>
  </si>
  <si>
    <t xml:space="preserve">Razgradnja žbuke na postojećim svodovima i stropovima, sa svim podložnim slojevima do nosive konstrukcije kako bi se stopovi i svodovi mogli pripremiti za izvedbu novih slojeva prema projektu. </t>
  </si>
  <si>
    <t>Troškovi organizacije gradilišta</t>
  </si>
  <si>
    <t xml:space="preserve">Stavka uključuje sve troškove organizacije gradilišta:
 	- Izrada elaborata organizacije gradilišta, plana izvođenja radova i sheme organizacije gradilišta. Shemu organizacije gradilišta je izvođač dužan prije izvođenja radova dostaviti na kontrolu i suglasnost nadzornom inženjeru
 	- Svi troškovi režije gradilišta ( struja, voda, internet, plin i ostalo), troškovi priključaka i razvoda svih privremenih instalacija gradilišta, sav potrošni materijal i oprema izvođača
 	- Izvođač treba detaljno razraditi tehnologiju izvođenja  u vidu elaborata. Izvođač treba ishoditi suglasnost projektanta konstrukcije za tehnologiju izvođenja konstrukcije.
 	- Izgradnja, uređenje i održavanje gradilišnih i pristupnih puteva, sa postavom i održavanjem prometne regulacije na gradilištu i na pristupnim prometnicama
 	- Prostor za gradilišni deponij - organizacija, izvedba i održavanje
 	- Svi unutarnji i vanjski transporti (horizontalni i vertikalni) materijala i sva oprema i strojevi potrebni za izvođenje radova te skladištenje istih
 	- Izrada, montaža i održavanje zaštitnih oznaka,  radnih skela, ograda, razupora, zaštita rovova, ljestvi, bina i sl. sukladno Zakonu ZNR, te nakon završteka radova demontaža istih
 	</t>
  </si>
  <si>
    <t>- Nanosna skela, sa označavanjem osi i visinskih kota objekta koje zadaje ovlašteni geodeta. U cijeni je uključeno održavanje osi i visinskih kota tijekom izvođenja radova od ovlaštenog geodete
 	- Gradilišna tabla, Tabla sa znakovima upozorenja i tabla "zabranjen pristup nezaposlenim osobama" i sve ostale table i oznake po ZNR
 	- Otvorena  i zatvorena skladišta raznih materijala ( nadstrešnice, platoi, barake i sl)
 	- Troškovi osiguranje gradilišta( čuvarska služba) i osvjetljenje gradilišta
 	- Kontejneri različitih namjena i dimenzija te WCi za zaposlenike izvođača/podizvođača sa svim potrebnim zahtjevima
 	- Aparati za gašenje požara i sve mjere za zaštitu od požara prema pravilnicima za vrijeme izvođenja radova
- Svakodnevno čišćenje gradilišta</t>
  </si>
  <si>
    <t>Obračun za komplet cijelo vrijeme trajanja izvođenja radova.</t>
  </si>
  <si>
    <t>Doprema elemenata i montaža te nakon radova demontaža krova za zaštitu  od atmosferilija nakon što se demontira postojeće krovište kako bi se osiguralo štićenje prostora.  Krov se izvodi kao modularni sustav skele koji  štiti od mraza, kiše ili snijega te prejakog sunčevog zračenja. Krov se može postaviti učvršćivanjem ili u pomičnoj varijanti. Pritom se prekrivanje ceradom izvodi preko unaprijed montiranog kotača, a cerada se opcionalno može zatvarati električnim mehanizmom.Zaštitni krov mora biti naovisan o donjoj konstrukciji što je potreebno ostavriti pomičnim osloncem ili na drugi način ovisno o tehnologiji sustava odabranog proizvođača.</t>
  </si>
  <si>
    <t xml:space="preserve">Zaštita elemenata  tijekom izvođenja radova OSB pločama, te uklanjanje zaštite nakon radova. Stavka uključuje postavljanje geotekstila gramature min 300 grama/m2 i na njih OSB ploče debljine min 18 mm direktno na elemente koji se štite ili na potkonstrukciju od drvenih greda 10/10 cm. Stavka uključuje i demontažu postavljene zaštite po završetku izvođenja radova. 
Sve spojna sredstva uključena u cijenu.
</t>
  </si>
  <si>
    <t>Stavka uključuje zaštite za zidne oslike, štukature, kamene i metalne elemente, kaljeve peći i sve ostale elemente sukladno uputama konzervatorskog nadzora, zaštitu  svih  stubišta koja se zadržavaju, svjetlika u podu potkrovlja (središnji i južni). 
Južno stubište će  biti u funkciji kroz sve etaže za vrijeme izvođenja radova te je nužno štititi sve dijelove uključivo, zaštita ograde i stuba. . Privremeno pokriti prostornu rešetku u potkrovlju (za korištenje i da se zaštiti i zbog sigurnosti). Stavka uključuje i štićenje instalacija kotlovnice, ventilacije u podrumu.</t>
  </si>
  <si>
    <t>Razne zaštite unutranjih elemenata za vrijeme izvedbe radova</t>
  </si>
  <si>
    <t>Razne zaštite vanjskih elemenata za vrijeme izvedbe radova</t>
  </si>
  <si>
    <t>Stavka uključuje zaštite  fontana, fasade u visini prizemlja unutar dvorišta na Opatičkoj za vrijeme izvedbe radova na izvedbi vanjskih radova ( kanalizacija, hortikultura, sprinkler bazen), na dvorištu u Radićevoj potrebno štiti ulazne stepenice s ulice.</t>
  </si>
  <si>
    <t xml:space="preserve">Dobava, postava i demontaža gradilišne ograde. Zaštitna ograda mora biti u svemu u skladu sa važećim pravilnicima i propisima, odnosno postojećom zakonskom regulativom.  </t>
  </si>
  <si>
    <t>Obračun po 2 kose projekcije krova, komadu prozora i komadu dimnjaka sa pokrovnom kapom.</t>
  </si>
  <si>
    <t>Stavka uključuje i demontažu krovnih prozora zajedno sa svim potrebnim spojnim i pričvrsnim materijalom te demontažu ventilacijskih dimnjaka sa pokrovnom kapom i  sa svim slojevima te spojnim materijalom.</t>
  </si>
  <si>
    <t>Zakup javne površine</t>
  </si>
  <si>
    <t>Demontaža svjetlika</t>
  </si>
  <si>
    <t>Pažljivu demontažu postojećih profila i stakla tj. cijelog svjetlika, prethodno snimak svih postojećih detalja, zaštitu i sigurnosno označavanje otvora demontiranog svjetlika u svodu (ispod je 8m rupa do poda zlatne dvorane).   Stavka uključuje demontažu svih elemenata uključivo spojni i pričvrsni materijal te sve elemenete konstrukcije i obloge.</t>
  </si>
  <si>
    <t>Na poziciji iizvedbe prethodno je demontiran postojeći svjetlik. Stavka uključuje kompletno zaštitu tijekom izvedbe radova ( budući da je ispod rupa u svodu 8 m)</t>
  </si>
  <si>
    <t>Prezidavanje postojećih zidova/dijelova zidova od pune opeke. Stavka uključuje pažljivu razgradnju zida/dijela zida te ponovno zidanje zida u istoj geometriji korištenjem postojeće opeke ili novom istog formata kao postojeća. U cijenu uključivo obradu rubova zida i spojeva sa susjednim plohama. Detalje završetaka i rubova zidanja izvesti po pravilima struke. Točna površina i volumen utvrdit će se po obijanju postojeće žbuke.</t>
  </si>
  <si>
    <t xml:space="preserve">Uređenje/dozidavanje postojećih zidova od opeke. Stavka uključuje uklanjanje trule opeke s vrha zidova te uredno dozidavanje na projektiranu kotu, korištenjem opeke starog formata i produžnog morta. Točna površina i volumen utvrdit će se po obijanju postojeće žbuke. </t>
  </si>
  <si>
    <t>Doprema, doprema i ugradnja hodne staze potkrovlja od OSB ploča. Hodna staza se izvodi od OSB ploča debljine 2,2 cm koje se oslanjaju na čelični trapezni lim T50, 0,5 mm, a što je uključeno u cijenu stavke. Lim je oslonjen na čeličnu konstrukciju krovišta koja je dio zasebne troškovničke stavke. Stavka ostaje kao trajna hodna staza na poziciji predviđenoj projektom.</t>
  </si>
  <si>
    <t>Obračun po m2 za sustav.</t>
  </si>
  <si>
    <t xml:space="preserve">Dobava i postava paropropusne vodonepropusne krovne folije, d=0,02 cm. Folija je samobrtveća monolitna (više od 180g/m2), toplinski (više od 120C) i UV (više od 3 mjeseca) postojana. 
</t>
  </si>
  <si>
    <t>Doprema, krojenje i ugradnja daščane oplate iznad greda.  Građa treba biti od crnogorice, II klase, propisno suha, piljena bez oštećenja i pukotina. Širina dasaka ne smije biti manja od 16 cm, a debljina 24 mm. Učvrstiti vijcima odgovarajuće duljine, s propisnim međurazmakom. Sve radove izvesti po pravilima tesarske struke. Jediničnom cijenom obuhvatiti podizanje do mjesta ugradnje. Sva građa mora biti premazana antiinsekticidnim i antifungicidnim premazom u dva sloja. Građa tehnički suha, kvalitete C24.</t>
  </si>
  <si>
    <r>
      <t>Obračun prema m</t>
    </r>
    <r>
      <rPr>
        <vertAlign val="superscript"/>
        <sz val="10"/>
        <rFont val="Calibri"/>
        <family val="2"/>
        <charset val="238"/>
        <scheme val="minor"/>
      </rPr>
      <t>2</t>
    </r>
    <r>
      <rPr>
        <sz val="10"/>
        <rFont val="Calibri"/>
        <family val="2"/>
        <charset val="238"/>
        <scheme val="minor"/>
      </rPr>
      <t xml:space="preserve"> stvarne površine ugrađene građe.</t>
    </r>
  </si>
  <si>
    <t>Izrada spuštenog stropa od dvostrukih protupožarnih gips-kartonskih ploča, debljine 2x12,5 mm,  na tipskoj čeličnoj podkonstrukciji od nosive i montažne podkonstrukcije iz pocinčanih čeličnih profila koja se ovjesnim elementima učvršćuje na nosivu krovnu konstrukciju.  Stavka uključuje izvedbu spoja s vertikalnim konstrukcijama prema izvedbenom detalju te obradu svih prodora i otvora za ugradnju instalacija i uređaja .
U cijenu uključeno bandažiranje i gletanje spojeva  i priprema za izvedbu soboslikarskih radova. Stavka obuhvaća nabavu svog potrebnog materijala, dovoz te sav potreban rad ljudi i strojeva i korištenje radnih skela.</t>
  </si>
  <si>
    <t>Stavka uključuje izvedbu spoja s vertikalnim konstrukcijama prema izvedbenom detalju te obradu svih prodora i otvora za ugradnju instalacija i uređaja .</t>
  </si>
  <si>
    <t>Izvođač je dužan dostaviti uzorak akustičnih ploča na potvrdu projektantu.</t>
  </si>
  <si>
    <t>Dobava, doprema materijala i izvedba "lažnih" dimnjaka na krovnim plohama glavnog krila. Dimnjaci se izvode od dvostrukih vlaknocementnih ploča za primjenu u vanjskim prostorima na potkonstrukciji. Potkonstrukcija se izvodi od pocinčanih čeličnih L profila 70x70x6mm koji se učvršćuju na krovnu konstrukciju i daščanu oplatu. 
Na vanjskim površinama dimnjaka je potrebno izvesti imitacije profilacije iz traka istih ploča prema projektnom detalju, sve uključeno u cijenu.
Sve izvesti prema izvedbenom detalju i postojećem stanju.</t>
  </si>
  <si>
    <t>Dobava i polaganje visokokvalitetnog masivnog parketa. Parket je ekstra klase, daske debljine 20 mm, hrast (gustoća min 650 kg/m3), Cfl-s1.  Postavlja  se na dobro očišćenu podnu površinu lijepljenjem dvokomponentnim ljepilom. U stavku uračunata i neprofilirana sokl letvica 2x5 cm iz istog materijala, postavlja se na zid vijcima i plastičnim ulošcima, završna obrada kao i podne daske.
Parket se postavlja prema odobrenoj shemi polaganja.
Format parketa kao seljački pod 150-200x15-20 cm.
Završni sloj parketa je mat lakiranje  sa svim potrebnim predradnjama te brušenjem i kitanjem, što je uključeno u cijenu. Završni sloj po odobrenju uzoraka predočenih projektantu.</t>
  </si>
  <si>
    <t xml:space="preserve">Širina i ton fuge po odobrenju projektanta. </t>
  </si>
  <si>
    <t>Prije izvedbe svih završnih slojeva podova izvođač je dužan dostaviti uzorak keramike i fug mase na potvrdu projektantu i nadzornom inženjeru. Izrada uzorka uljučena u cijenu. Uzorak uključuje završne obrade, boje i načine slaganja završnih podnih obloga.</t>
  </si>
  <si>
    <t>b) gazište 28x(201-207 ) cm</t>
  </si>
  <si>
    <t>c) stubište sa kružni stubama - gazište 27x(507-120) cm</t>
  </si>
  <si>
    <t xml:space="preserve">Dobava, doprema i ugradnja stakla  svjetlika iznad zlatne dvorane i svjetlika iznad južnog stubišta. Izvodi se kaljeno staklo 6mm sa svim potrebnim profilim i učvršćenjima- nosači kao obrnuti T.  Stavka uključuje sva potrebna brtvljenja, elastične spojeve i rubne pokrivne trake za spojeve staklo-čelik.  </t>
  </si>
  <si>
    <t>Napomena: čelična konstrukcija obračunta u zasebnim stavkama čelika</t>
  </si>
  <si>
    <t>Dobava, doprema i montaža staklene obloge lifta. Izvodi se kao kaljeno lamelirano staklo 8+8 mm. Obloga se učvrščuje na spider nosače, sve uključeno u cijenu stavke. Završna obrada i ton stakla po potvrdi projaktanta nakon prezentacije uzoraka.</t>
  </si>
  <si>
    <t>Izrada, doprema i postava oznaka prostorija, piktogrami sa oznakom WC-a, brojevi sloba i sve ostale oznake prema projektu. Sve oznake se izvode iz inoxa u tonu prema potvrdi uzorka. Dimenzije 10x 5cm. Izvodi se 100 komada oznaka.</t>
  </si>
  <si>
    <t>Dvostruki dvodijelni jednokrilni zaokretni prozor s jednokrilnim zaokretnim  nadsvjetlima i jednokrilnim griljama  prema stolarskoj  shemi P9</t>
  </si>
  <si>
    <t>Dobava pokrova i pokrivanje krova dvostrukim biber crijepom.
U stavku uključena postava sljemenjaka i grebena, kao i dobava i postava pri vrhu sljemena tipskog crijepa radi ventilacije krova, izvedba i obrada rubova na spoju sa zabatom, kao i ugradnja crijepova sa držačima snjegobrana i kuka za vezivanje radnika u potrebnom broju. 
Pokrov se postavlja na uključivo paropropusnu, vodonepropusnu krovnu foliju koju je obračunata u zasebnoj stavci.   Obavezno vezanje/pričvršćenje svih crijepova kopčama za ovaj tip pokrova.</t>
  </si>
  <si>
    <t xml:space="preserve">Dobava pokrova i pokrivanje krova natur bakrenim limom - falcani, d= 0,6 mm.
Pokrov se postavlja na uključivo paropropusnu, vodonepropusnu krovnu foliju koja je uključena u cijenu stavke. Lim se postavlja na daščanu oplatu koja je obračunata u zasebnoj stavci.  </t>
  </si>
  <si>
    <t>Dobava i ugradba betona za betoniranje armiranobetonske temeljne ploče sprinkler bazena. Debljina ploče iznosi 20 cm. Klasa betona C30/37, zrno 16 mm, klase izloženosti XC1. Armirati prema statičkom proračunu i planu savijanja armature. U cijenu su uključeni svi distanceri i držači armature. Prilikom betoniranja ugraditi sve elemente previđene za ugradnju (nosači, oprema, instalacije i sl.). Sve prema pravilima struke. Kompletan rad, transport betona, materijal. Obračun betona po m3 i oplate po m2. Armatura iskazana u posebnoj stavci. Beton se dodatno mikroarmira polipropilenskim vlaknima zbog velikog zaštitnog sloja armature, uključeno u cijenu stavke.</t>
  </si>
  <si>
    <t>Dobava i ugradba betona za betoniranje armiranobetonske stropne ploče sprinkler bazena. Debljina ploče iznosi 20 cm. Klasa betona C30/37, zrno 16 mm, klase izloženosti XC1. Armirati prema statičkom proračunu i planu savijanja armature. U cijenu su uključeni svi distanceri i držači armature. Prilikom betoniranja ugraditi sve elemente previđene za ugradnju (nosači, oprema, instalacije i sl.). Predvidjeti oplatu koja se nakon skidanja može demontirati i transportirati kroz otvor dimenzija 70x100 cm. Sve prema pravilima struke. Kompletan rad, transport betona, materijal. Obračun betona po m3 i oplate po m2. Armatura iskazana u posebnoj stavci. Beton se dodatno mikroarmira polipropilenskim vlaknima zbog velikog zaštitnog sloja armature, uključeno u cijenu stavke.</t>
  </si>
  <si>
    <t>Dobava i ugradba betona za betoniranje armiranobetonskih zidova sprinkler bazena. Debljina zidova iznosi 20 cm. Klasa betona C30/37, zrno 16 mm, klase izloženosti XC1. Armirati prema statičkom proračunu i planu savijanja armature. U cijenu su uključeni svi distanceri i držači armature. Prilikom betoniranja ugraditi sve elemente previđene za ugradnju (nosači, oprema, instalacije i sl.). Sve prema pravilima struke. Kompletan rad, transport betona, materijal. Obračun betona po m3 i oplate po m2. Armatura iskazana u posebnoj stavci.  Beton se dodatno mikroarmira polipropilenskim vlaknima zbog velikog zaštitnog sloja armature, uključeno u cijenu stavke.</t>
  </si>
  <si>
    <t>a) rš 35 cm</t>
  </si>
  <si>
    <t>c) opšav na spoju sa ravnim krovom rš 100-0 cm</t>
  </si>
  <si>
    <t>Limeni opšavi na fasadi</t>
  </si>
  <si>
    <t>a) rš do 10 cm</t>
  </si>
  <si>
    <t>b) rš 17 cm</t>
  </si>
  <si>
    <t>b) rš 11 do 20 cm</t>
  </si>
  <si>
    <t>c) rš 20 do 30 cm</t>
  </si>
  <si>
    <t>d) rš 30 do 40 cm</t>
  </si>
  <si>
    <t>d) hidroizolacija</t>
  </si>
  <si>
    <t>e) rš 40 do 50 cm</t>
  </si>
  <si>
    <t>f) rš 50 do 60 cm</t>
  </si>
  <si>
    <t>g) hidroizolacija</t>
  </si>
  <si>
    <t>Uvalni lim na spoju kosog krova i krovih kućica</t>
  </si>
  <si>
    <t>Rubni opšav kosog krova- veterlajsna</t>
  </si>
  <si>
    <t>Rubni opšav limenih krovova</t>
  </si>
  <si>
    <t>b) korito</t>
  </si>
  <si>
    <t>c) hidroizolacija</t>
  </si>
  <si>
    <t>a) žlijeb</t>
  </si>
  <si>
    <t>Mrežica za kukce</t>
  </si>
  <si>
    <t>Svu postojeću limariju treba prethodno uzeti mjere i snimiti detalje izvedbe, demontirati i prema njoj raditi novu, iz natur bakrenog lima 0.6mm. Sve stavke uključuju izolaciju ispod opšava i sav pomoćni i pričvrsni pribor iz iste vrste lima.</t>
  </si>
  <si>
    <t>Izrada i postava rubnog krovnog lima od bakrenog  lima, d=0,6 mm, montiranog na pripremljenu podlogu. Lim će se fiksirati i spajati  na način kako je bilo u originalu je sav spojni i pričvrsni materijal uključen u cijenu.   Sve prema projektnom detalju. U stavku uključeni sve predradnje i radovi do potpune funkcionalnosti. Stavka uključuje i izvedbu hidroizolacije ispod limova.</t>
  </si>
  <si>
    <t>Izrada i postava opšava i okapnica na fasadi, prozorske klupčice, okapnice iznad nadsvjetla te opšav fiksera između krila i nadsvjetla. Sve  od bakrenog  lima, d=0,6 mm, montiranog na pripremljenu podlogu. Lim će se fiksirati i spajati  na način kako je bilo u originalu te je sav spojni i pričvrsni materijal uključen u cijenu.   Sve prema projektnom detalju. 
Stavka uključuje i izvedbu hidroizolacije ispod limova. U stavku uključeni sve predradnje i radovi do potpune funkcionalnosti.</t>
  </si>
  <si>
    <t>Prijelazni lim</t>
  </si>
  <si>
    <t>Okapni lim</t>
  </si>
  <si>
    <t>Odvodne vertikale</t>
  </si>
  <si>
    <t xml:space="preserve">Izrada i postava okapnog lima. Stavka uključuje sav potreban pričvrsni i spojni materijal te brtvljenje. U stavku uključeni sve predradnje i radovi do potpune funkcionalnosti. </t>
  </si>
  <si>
    <t xml:space="preserve">Izrada i postava prijelaznog lima sa letve u žlijeb. Stavka uključuje sav potreban pričvrsni i spojni materijal te brtvljenje. U stavku uključeni sve predradnje i radovi do potpune funkcionalnosti. </t>
  </si>
  <si>
    <t xml:space="preserve">Izrada i postava preforirane mrežice za kukce. Stavka uključuje sav potreban pričvrsni i spojni materijal te brtvljenje. U stavku uključeni sve predradnje i radovi do potpune funkcionalnosti. </t>
  </si>
  <si>
    <t xml:space="preserve">Izrada i postava visećeg polukružnog žlijeba, rš 60 cm od lima bakrenog lima, d= 0,6 mm.  Stavka uključuje sav potreban pričvrsni i spojni materijal te brtvljenje. U stavku uključeni sve predradnje i radovi do potpune funkcionalnosti. </t>
  </si>
  <si>
    <t xml:space="preserve">Izrada i postava ležećeg žlijeba, rš 60 cm od lima bakrenog lima, d= 0,6 mm. Stavka uključuje i izvedbu korita za postavu žlijeba od OSB ploča te hidroizolaciju. Stavka uključuje sav potreban pričvrsni i spojni materijal te brtvljenje. U stavku uključeni sve predradnje i radovi do potpune funkcionalnosti. </t>
  </si>
  <si>
    <t xml:space="preserve">Izrada i postava sandučastog žlijeba, rš 100 cm od lima bakrenog lima, d= 0,6 mm.  Spoj elemenata izvesti prema uzoru na postojeće. Stavka uključuje sav potreban pričvrsni i spojni materijal te brtvljenje. U stavku uključeni sve predradnje i radovi do potpune funkcionalnosti. </t>
  </si>
  <si>
    <t xml:space="preserve">Izrada i postava opšavnog lima kosog krova- veterlasjne od lima bakrenog lima, d= 0,6 mm, rš cca 35 cm.  Stavka uključuje sav potreban pričvrsni i spojni materijal te brtvljenje. U stavku uključeni sve predradnje i radovi do potpune funkcionalnosti. </t>
  </si>
  <si>
    <t xml:space="preserve">Izrada i postava uvalnog lima od bakrenog lima, d= 0,6 mm na spoju kosog krova pokrivenog crijepom i dijelova krovova pokrivenih limom, rš 80 cm. Stavka uključuje sve podložne limove na spoju i izvedbu hidroizolacije kako bi se osigurala vodonepropusnost na spoju. Stavka uključuje sav potreban pričvrsni i spojni materijal te brtvljenje. U stavku uključeni sve predradnje i radovi do potpune funkcionalnosti. </t>
  </si>
  <si>
    <t>Izrada i postava  krovnog opšava od bakrenog lima, d=0,6 mm, na spoju dimnjaka i krova. Stavka uključuje sav potreban spojni i pričvrsni materijal te brtvljenje. Razvijena širina prema projektnom detalju, cca 70 cm. U stavku uključeni sve predradnje i radovi do potpune funkcionalnosti.</t>
  </si>
  <si>
    <t>Izrada i postava pokrovne kape dimnjaka od bakrenog lima lima, d=0,6 mm, montiranog na pripremljenu podlogu. Lim će se fiksirati na OSB ploče sa potkonstrukcijom koje su dio stavke. Stavka uključuje sav potreban spojni i pričvrsni materijal te brtvljenje.  Sve prema projektnom detalju. U stavku uključeni sve predradnje i radovi do potpune funkcionalnosti. Izvode se 3 kape na 3 izvedena dimnjaka.</t>
  </si>
  <si>
    <t>Opšav krovnih prozora</t>
  </si>
  <si>
    <t>Izrada i postava opšava krovnih prozora od bakrenog lima, d=0,6 mm, na spoju dimnjaka i krova. Stavka uključuje sav potreban spojni i pričvrsni materijal te brtvljenje. Razvijena širina prema projektnom detalju, cca 20 cm. U stavku uključeni sve predradnje i radovi do potpune funkcionalnosti.</t>
  </si>
  <si>
    <t>Opšav krovnih svjetlika</t>
  </si>
  <si>
    <t>Izrada i postava opšava krovnih svjetlika od bakrenog lima, d=0,6 mm, na spoju dimnjaka i krova. Stavka uključuje sav potreban spojni i pričvrsni materijal te brtvljenje. Razvijena širina prema projektnom detalju, cca 35 cm. U stavku uključeni sve predradnje i radovi do potpune funkcionalnosti.</t>
  </si>
  <si>
    <t>b) nove grilje</t>
  </si>
  <si>
    <t>c) sanacija postojećih grilja</t>
  </si>
  <si>
    <t>Svu postojeću limariju treba prethodno uzeti mjere i snimiti detalje izvedbe, demontirati i prema njoj raditi novu .Demontaža postojeće krovne limarije, hidroizolacija na objektu što uključuje sve zabatne opšave, opšava prodora na krovu, žlijebove, vertikale odvodnje sa sabirnim kotlićima, podložne i sudarne limove te sve druge elemente limarije koje je potrebno demontirati uključivo sav potrebna spojni i pričvrsni materijal. Stavka uključuje usitnjavanje na manje komade, vertikalni i horizontalni transport,  utovar i odvoz na deponij.</t>
  </si>
  <si>
    <t>Svu postojeću limariju treba prethodno uzeti mjere i snimiti detalje izvedbe, demontirati i prema njoj raditi novu. Demontaža postojeće fasadne limarije na objektu što uključuje sve opšave klupčica i vijenaca, podložne slojev, hidroizololaciju, uključivo sav korišten spojni i pričvrsni materijal. Stavka uključuje usitnjavanje na manje komade, vertikalni i horizontalni transport,  utovar i odvoz na deponij.</t>
  </si>
  <si>
    <t>Prijenos pokretne opreme i inventara građevine za vrijeme izvođenja radova. Uključeni svi prijenosi te horizontalni i vertikalni transporti. Sve predmete potrebno je deponirati na gradilištu, na poziciji po izboru investitora i po dogovoru s izvođačem zbog organizacije gradilišta, gdje će se adekvatno skladištiti do njihovog ponovnog vraćanja što je uključeno u stavci. Uključivo rad i nadzor konzervatora i restauratora.</t>
  </si>
  <si>
    <t>Troškovi zakupa javne površine za vrijeme izvedbe radova u svrhu postave ograde gradilišta.</t>
  </si>
  <si>
    <t>c) penjalice</t>
  </si>
  <si>
    <t>Sva zaštita stolarije i ostalih elementa prilikom izvedbe soboslikarskih radova uključena u cijenu.</t>
  </si>
  <si>
    <t xml:space="preserve">Suhi estrih </t>
  </si>
  <si>
    <t>Izvedba suhog estriha poda balkona 1. kata ispred zlatne dvorane</t>
  </si>
  <si>
    <t>Na suhi estrih se postavljaju OSB ploče kao podloga za postavu mozaik parketa, a što je uključeno u cijenu stavke.</t>
  </si>
  <si>
    <t>Izvedba plivajućeg poda u sljedećim slojevima :
- suhi estrih - nasip ekspandirane gline sa završno gipskartonskom pločom, debljine d=6 cm  
- elastični sloj izvesti od elastificiranog ekspandiranog polistirena EPS-T debljine 2 cm
- OSB ploče u dva sloja 2x2,2 cm (podloga za postavljanje parketa)</t>
  </si>
  <si>
    <t>Izvedba plivajućeg poda u sljedećim slojevima :
- cementni estrih debljine d=6 cm lagano armiran i dobro zaglađen 
- PE folija sa preklopima, debljine 0,25 mm, podignuta vertikalno uz rubove, preklopi dodatno prelijepljeni samoljepljivim trakama
- elastični sloj izvesti od elastificiranog ekspandiranog polistirena EPS-T debljine 2 cm</t>
  </si>
  <si>
    <t>Izvedba suhog estriha poda 2. kata</t>
  </si>
  <si>
    <t xml:space="preserve">Izvedba plivajućeg poda u sljedećim slojevima :
- suhi estrih - nasip ekspandirane gline sa završno gipskartonskom pločom, debljine d=4-6 cm  </t>
  </si>
  <si>
    <t>a) suhi estrih, d=4-6 cm</t>
  </si>
  <si>
    <r>
      <t>Dobava, doprema potrebnog materijala i izvedba suhog estriha, kao nivogran, od ekspandirane gline</t>
    </r>
    <r>
      <rPr>
        <sz val="10"/>
        <rFont val="Calibri"/>
        <family val="2"/>
      </rPr>
      <t>, debljine d=6 cm. Gornja strana fino zaglađena u izvedbi kao podloga za postavu gipskartonske ploče, a što je uključeno u cijenu stavke. Dobava i postava gipskartonske ploče uključena u cijenu stavke. U cijenu uključen sav rad i materijal.</t>
    </r>
  </si>
  <si>
    <r>
      <t>Dobava, doprema potrebnog materijala i izvedba suhog estriha, kao nivogran, od ekspandirane gline</t>
    </r>
    <r>
      <rPr>
        <sz val="10"/>
        <rFont val="Calibri"/>
        <family val="2"/>
      </rPr>
      <t>, debljine d=4-6 cm. Gornja strana fino zaglađena u izvedbi kao podloga za postavu gipskartonske ploče, a što je uključeno u cijenu stavke. Dobava i postava gipskartonske ploče uključena u cijenu stavke. U cijenu uključen sav rad i materijal.</t>
    </r>
  </si>
  <si>
    <r>
      <t>Dobava, doprema potrebnog materijala i izvedba suhog estriha, kao nivogran, od ekspandirane gline</t>
    </r>
    <r>
      <rPr>
        <sz val="10"/>
        <rFont val="Calibri"/>
        <family val="2"/>
      </rPr>
      <t>, debljine d=3-16 cm. Gornja strana fino zaglađena u izvedbi kao podloga za postavu gipskartonske ploče, a što je uključeno u cijenu stavke. Dobava i postava gipskartonske ploče uključena u cijenu stavke. U cijenu uključen sav rad i materijal.</t>
    </r>
  </si>
  <si>
    <r>
      <t>Dobava, doprema potrebnog materijala i izvedba suhog estriha, kao nivogran, od ekspandirane gline</t>
    </r>
    <r>
      <rPr>
        <sz val="10"/>
        <rFont val="Calibri"/>
        <family val="2"/>
      </rPr>
      <t>, debljine d=10-15 cm. Gornja strana fino zaglađena u izvedbi kao podloga za postavu gipskartonske ploče, a što je uključeno u cijenu stavke. Dobava i postava gipskartonske ploče uključena u cijenu stavke. U cijenu uključen sav rad i materijal.</t>
    </r>
  </si>
  <si>
    <t xml:space="preserve">Izvedba plivajućeg poda u sljedećim slojevima :
- suhi estrih - nasip ekspandirane gline sa završno gipskartonskom pločom, debljine d=10-15 cm  </t>
  </si>
  <si>
    <t>a) suhi estrih - nasip, d=10-15 cm</t>
  </si>
  <si>
    <t>Oznaka sloja: PO3, PRT1, PRT1a, PRT2, PRT2a, PRN2.</t>
  </si>
  <si>
    <t>Dobava i postava hidroizolacije iz sintetičke membrane na bazi termoplastičnog poliolefina, FPO, armirana poliesterskim pletivom i stabilizirana sa staklenim voalom, bež boje, UV stabilna, debljine d= 1,8 mm, prema EN 13967 ili jednakovrijedan _______________, debljina signalnog sloja min. 0.6mm.                                                               Karakteristike:                                                                                      
- efektivna debljina: min.1.8 mm (-5%/+10%) (HRN EN 1849-2 ili jednakorijedan ________________)                                                                                      
- masa po jedinici površine: min. 1.98 kg/m² (-5%/+10%) (HRN EN 1849-2 ili jednakovrijedan _____________)                            
- vodonepropusnost: zadovoljava (HRN EN 1928 ili jednakovrijedan __________________)                                                             
- posmična otpornost spojeva: ≥500 N/50 mm (HRN EN 12317-2 ili jednakovrijedan _______________)                                      
- otpornost na prolaz vodene pare: min. μ=150.000 (HRN EN 1931 ili jednakovrijedan ______________)                                                                                       
- izduženje pri slomu: ≥ 13% (HRN EN 12311-2 ili jednakovrijedan __________________)                                                    
- otpornost na udarce, tvrda podloga: min. 1000mm (HRN EN 12691 ili jednakovrijedan)                                                                        
- otpornost na statičke opterećenja: min. 20kg (HRN EN 12730 ili jednakovrijedan)                                               
- pregibljivost pri sniskim temperaturama: ≥ -35°C (HRN EN 495-5 ili jednakovrijedan)            
- klase Bkrov(t1) (prema EN 13501)                                                          
U cijenu stavke uključiti i odgovarajući geotekstil koji se postavlja ispod, (300 gr/m2)  d= 0,3 cm.</t>
  </si>
  <si>
    <t xml:space="preserve">Membrane se slobodno polažu te fiksiraju u podlogu prema uputama proizvođača membrane. Spojevi se obrađuju vrućim zrakom sa širinom vara od min. 3 cm, preklop 12 cm, u skladu s propisanom tehnologijom od strane proizvođača membrane. Na spojeve pod-zid i završetak membrane izvesti sa profilom galvaniziranog limom laminiranog sintetičkom membranom (debljine min. 1,7 mm), uključena brtvljenje sa namjenskim poliuretanskim brtvilom. Svi proizvodi trebaju biti kompatibilni. Dokaz kompatibilnosti dostaviti nadzornom inžinjeru. </t>
  </si>
  <si>
    <t>Stavka uključuje i vertikalno uzdizanje i spuštanje uz atiku i zidove te postavu rubnog kaširanog lima te brtvljenje strukturnim kitom, visina cca 50 cm.</t>
  </si>
  <si>
    <t>Hidroizolacija ravnog krova - bočni slivnici</t>
  </si>
  <si>
    <t xml:space="preserve">Dobava i montaža bočnog slivnika na bazi tvrdog FPO-a, prema EN 1253 ili jednakovrijedan___________ , kompatibilan sa TPO/FPO membranom, promjera 90mm. Karakteristike: duljina cjevi min. 45 cm, protok vode min. 1.45 l/s. Uključena postava zaštitne košare. Proizvodi trebaju biti kompatibilni sa proizvodima iz stavke 1. Dokaz kompatibilnosti od strane proizvođača se treba dostaviti nadzornom inžinjeru. </t>
  </si>
  <si>
    <t>Hidroizolacija ravnog krova - hodne staze</t>
  </si>
  <si>
    <t xml:space="preserve">Dobava i ugradnja hodne staze na visokokvalitetnog poliolefina (FPO) armirana staklenim pletivom, sa UV stabilizatorima i inhibitorima vatre, u širini 66cm.                        Karakteristike:                                                                                                             - debljina trake 2.0mm (EN 1849-2 ili jednakovrijedan _____________)                                                                                                       - plošna težina 1.8 kg/m² (-5% / +10%) (EN 1849-2 ili jednakovrijedan _____________)                                                                    
- otpornost na točkasto opterećenje ; meka podloga ≥ 1250 mm (EN 12691 ili jednakovrijedan ______________)                                
Proizvodi trebaju biti kompatibilni sa proizvodima hidroizolacije ravnog krova. Dokaz kompatibilnosti od strane proizvođača se treba dostaviti nadzornom inžinjeru. </t>
  </si>
  <si>
    <t>Hidroizolacija ravnog krova - nosači gromobranske trake</t>
  </si>
  <si>
    <t xml:space="preserve">Dobava i ugradnja sustavog rješenja nosača za gromobransku traku u sustavu FPO hidroizolacije membrane na krovu. Sustav se sastoji od poliamidnog nosača promjera 110mm i visine 45mm, FPO manžete promjera 200m i debljine 1.5m te završnog gotovog elementa na bazi TPO-a. Proizvodi trebaju biti kompatibilni sa proizvodima iz stavke 1. Dokaz kompatibilnosti od strane proizvođača se treba dostaviti nadzornom inžinjeru. </t>
  </si>
  <si>
    <t>Obračun po m1 gromobranske trake.</t>
  </si>
  <si>
    <t xml:space="preserve">Dobava i ugradnja jednokomponentnog paropropusnog elastičnog vodonepropusnog akrilatnog premaza na bazi vode. Karakteristike proizvoda: specifična gustoća: min.1.26, izduženje pri slomu: ~ 285% (AFNOR NF T 51-034 ili jednakovrijedan ____________), premoštenje pukotina (0°C): 3.9mm (AFNOR NF T 84-402 ili jednakovrijedan ___________), prionjivost na podlogu: min. 1,1 MPa (AFNOR NF T 24-624  ili jednakovrijedan __________). Ukupna suha debljina min. 1.0 mm. Premaz se armira sa mrežicom od staklenih vlakana min. 145 g/m2. Uključen ugradnja vodonepropusnih elastičnih traka na spoju pod-zid, zid-zid, oko prodora i slivnika. Trake na bazi termoplastičnog elastomera, širina trake: 120 mm, debljina trake : 0.66 mm, vlačna čvrstoća: min. 85 N/15 mm (EN ISO 527-3 ili jednakovrijedan _________), izduženje pri slomu, poprečno: min. 200% (EN ISO 527-3 ili jednakovrijedna __________). Svi proizvodi trebaju biti međusobno kompatibilni. Dokaz kompatibilnosti od strane proizvođača se treba dostaviti nadzornom inžinjeru. Radove izvesti prema uputama proizvođača materijala. </t>
  </si>
  <si>
    <t xml:space="preserve">Stavka uključuje i pripremu podloge te dobavu i ugradnju koristeći bijelo deformafilno ljepilo, koje se sastoji od visoko-otpornih cemenata, odabranih silicij/kvarcnih mineralnih punila i posebnih dodataka, uz dodatak namjenskog lateksa.                                  
 Karakteristike ljepila:                                                                                      
- klasa C2TES1 (EN12004 ili jednakovrijednog)                               
 - gustoća: ~1.60 kg/l                                                                                                                       - početna čvrstoća prionjivosti: min. 2.1 MPa (EN 1348 ili jednakovrijedan)                                                                                   
- čvrstoća prionjivosti nakon djelovanja temperature: 1.7 MPa (EN 1348 ili jednakovrijedan)         </t>
  </si>
  <si>
    <t>Staklena opeka</t>
  </si>
  <si>
    <t>Zamjena staklene opeke u podu zapadnog dvorišta</t>
  </si>
  <si>
    <t>Demontaža i odvoz postojeće staklene opeke u podu zapadnog dvorišta te ugradnja nove.</t>
  </si>
  <si>
    <t>Izvode se dva polja 90x90 cm, 3x3 opeke, dimenzija staklene opeke 19x19x8 cm. U cijenu ugradnje opeke računati i svo potrebno brtvljenje na spojevima opeke kao i hidroizolaciju. Između opeke se ugrađuje armatura što je uključeno u cijenu stavke.</t>
  </si>
  <si>
    <t>a) demontaža i odvoz postojeće opeke</t>
  </si>
  <si>
    <t>b) ugradnja nove opeke</t>
  </si>
  <si>
    <t xml:space="preserve">Dobava i ugradnja samonivelirajuće cementne mase klase R3 (prema EN 1504-3 ili jednakovrijedno) i klase CT – C40 – F10 – A12 prema EN 13813 ili jednakovrijednoj, u debljini min. 4mm., slijedećih karakteristika: tlačna čvrstoća (24 sata): &gt; 20 MPa (EN 13892-2 ili jednakovrijedna), tlačna čvrstoća (28 dana): &gt; 40 MPa (EN 13892-2 ili jednakovrijedna), savojna čvostoća (24 sata): &gt; 3 MPa (EN 13892-2 ili jednakovrijedna), savojna čvostoća (24 sata): &gt; 10 MPa (EN 13892-2 ili jednakovrijedna ). Uključena i izrada radnih reški (prema uputama proizvođača materijala i smjernicama DIN 18560-2 ili jednakovrijednoj) i zapunjavanje sa sustavom trajnoelastičnog poliuretanskog brtvila bez otapala i bez mirisa. Masa se aplicira na brušenu podlogu obrađenu temeljnim premazom u sustavu, temeljni premaz uključen u cijenu stavke. Svi proizvodi trebaju biti u sustavu jednog proizvođača materijala. Radove izvesti prema uputama proizvođača materijala. </t>
  </si>
  <si>
    <t>Dobava, doprema materijala i izvedba terazoo poda, debljina sloja 3 cm.</t>
  </si>
  <si>
    <t>Uključena i izrada radnih reški (prema uputama proizvođača materijala i smjernicama DIN 18560-2 ili jednakovrijednoj) i zapunjavanje sa sustavom trajnoelastičnog poliuretanskog brtvila bez otapala i bez mirisa.</t>
  </si>
  <si>
    <t xml:space="preserve">Fugiranje izvesti cementnom masom, klase CG2 (EN 13888 ili jednakovrijednom), otpornim na soli za odleđivanje. Na radnim reškama ugraditi trajnoelastično poliuretansko brtvilo, PE ispunu za fugu i odgovarajući temeljni premaz. Svi proizvodi trebaju biti kompatibilni. Dokaz kompatibilnosti dostaviti nadzornom inženjeru i projektantu. Radove izvesti prema uputama proizvođača materijala. Širina i ton fuge po odabiru projektanta. </t>
  </si>
  <si>
    <t>Opločenje podova - porculanska keramika</t>
  </si>
  <si>
    <t>c) prizemlje - sanitarije (PRT1a) - velikoplošna porculanska keramika, ojačana armaturom od staklenih vlakana na poleđini, debljine 5,5 mm, protukliznosti R10</t>
  </si>
  <si>
    <t>d) prizemlje - sanitarije (PRT2a)</t>
  </si>
  <si>
    <t>e) prizemlje - sanitarije (PRT2a) - sokl</t>
  </si>
  <si>
    <t>f) 1. kat - sanitarije (P1K2a, P1K2b) - velikoplošna porculanska keramika, ojačana armaturom od staklenih vlakana na poleđini, debljine 5,5 mm, protukliznosti R10</t>
  </si>
  <si>
    <t>g) 2. kat - sanitarije (P2K2a) - velikoplošna porculanska keramika, ojačana armaturom od staklenih vlakana na poleđini, debljine 5,5 mm, protukliznosti R10</t>
  </si>
  <si>
    <t>h) potkrovlje - sanitarije (PT1b) - velikoplošna porculanska keramika, ojačana armaturom od staklenih vlakana na poleđini, debljine 5,5 mm, protukliznosti R10</t>
  </si>
  <si>
    <t>i) potkrovlje - spremište inventara (PT1b)</t>
  </si>
  <si>
    <t>j) potkrovlje - spremište inventara (PT1b) - sokl</t>
  </si>
  <si>
    <t>Stepenice i podesti - sjeverni podrum</t>
  </si>
  <si>
    <t>Dobava i doprema materijala te opločenje unutarnjih stepenica i  podesta keramikom - porculanske pločice.</t>
  </si>
  <si>
    <t>Pozicija: stubište u sjevernom podrumu.</t>
  </si>
  <si>
    <t>Obračun po komadu čela i gazišta i m1 sokla.</t>
  </si>
  <si>
    <t>a) čela</t>
  </si>
  <si>
    <t>b) gazišta</t>
  </si>
  <si>
    <t>c) sokl kosi uz stube</t>
  </si>
  <si>
    <t>19x100 cm</t>
  </si>
  <si>
    <t>19x140 cm</t>
  </si>
  <si>
    <t>25x100 cm</t>
  </si>
  <si>
    <t>trokutna 25x100x0-100 cm</t>
  </si>
  <si>
    <t>Terazzo stubište - sjeverno stubište s dizalom</t>
  </si>
  <si>
    <t>Dobava, doprema materijala i izvedba terazoo poda, debljina sloja 3 cm, izvodi se pod na stubištu (čela i gazišta).</t>
  </si>
  <si>
    <t>Obračun po m2 pripreme i obrade poda podesta, komadu čela i gazišta i m1 sokla.</t>
  </si>
  <si>
    <t>17,38x110 cm</t>
  </si>
  <si>
    <t>16,76x110 cm</t>
  </si>
  <si>
    <t>17,70x110 cm</t>
  </si>
  <si>
    <t>29x110 cm</t>
  </si>
  <si>
    <t xml:space="preserve">Postojeće terazzo stubište - dva kraka stubišta iz podruma glavnog krila </t>
  </si>
  <si>
    <t>Postojeće stubište od terazzo obloge potrebno je očistiti, po potrebi popraviti i polirati te završno premazati zaštitnim premazom.</t>
  </si>
  <si>
    <t>Sve po odobrenju konzervatora i sturčnog nadzora. Koristiti materijale koji neće oštetiti postojeću podnu oblogu.</t>
  </si>
  <si>
    <t>Obračun po komadu čela i gazišta te m2 podesta.</t>
  </si>
  <si>
    <t>14,60x190 cm</t>
  </si>
  <si>
    <t>18,00x190 cm</t>
  </si>
  <si>
    <t>30x190 cm</t>
  </si>
  <si>
    <t>31,5x190 cm</t>
  </si>
  <si>
    <t>Postojeće terazzo stubište - južno stubište</t>
  </si>
  <si>
    <t>14,53x130 cm</t>
  </si>
  <si>
    <t>15,00x130 cm</t>
  </si>
  <si>
    <t>15,80x130 cm</t>
  </si>
  <si>
    <t>31,25x130 cm</t>
  </si>
  <si>
    <t>29,73x130 cm</t>
  </si>
  <si>
    <t>a) pult: 340x90x215 cm</t>
  </si>
  <si>
    <t>Estrih</t>
  </si>
  <si>
    <t>Dobava potrebnog materijala i strojno žbukanje novih zidanih zidova produžnom vapneno cementnom žbukom za unutarnje radove u dva sloja grubim i finim, d=2-3 cm s prethodno izvedenim cementnim špricem.
Gotova ožbukana površina mora biti ravna i zaglađena te tako pripremljena za ličilačke radove.
U cijenu uključena kutna armaturna mrežica u uglovima zidova te pocinčani kutni profil za mehaničko učvršćenje kutova.
U cijenu uključena potrebna radna skela te sav rad i  materijal.</t>
  </si>
  <si>
    <t>Sanacija AB ploča reparaturnim mortom</t>
  </si>
  <si>
    <t>Dobava potrebnog materijala i sanacija AB ploča reparaturnim mortom. Reparaturni mort se nanosi s gornje strane armiranobetonskih ploča. Točne pozicije nanošenja reparaturnog morta u dogovoru s nadzornim inženjerom. Armatura u ploči ne smije biti vidljiva. Reparaturni mort se nanosi u tankom sloju kako bi se osigurao zaštitni sloj betona.</t>
  </si>
  <si>
    <t>Oznaka sloja: PRN1a, P2K1.</t>
  </si>
  <si>
    <t>Izvedba unutarnje produžne žbuke na saniranim svodovima</t>
  </si>
  <si>
    <t>Dobava potrebnog materijala i strojno žbukanje prethodno saniranih svodova sa FRCM sustavom produžnom vapneno cementnom žbukom za unutarnje radove u dva sloja grubim i finim, d=2-3 cm s prethodno izvedenim cementnim špricem.
Gotova ožbukana površina mora biti ravna i zaglađena te tako pripremljena za ličilačke radove.
U cijenu uključena kutna armaturna mrežica u uglovima zidova te pocinčani kutni profil za mehaničko učvršćenje kutova.
U cijenu uključena potrebna radna skela te sav rad i  materijal.</t>
  </si>
  <si>
    <t>Oznaka sloja: P1K1, P1K1a, P1K3.</t>
  </si>
  <si>
    <t>Obračun po komadu .</t>
  </si>
  <si>
    <t>Obloga iz masivnog drva. Drvo je ekstra klase, daske debljine 20 mm, hrast (gustoća min 650 kg/m3), Cfl-s1.  Postavlja  se na dobro očišćenu podnu površinu lijepljenjem dvokomponentnim ljepilom. 
Postavlja prema odobrenoj shemi polaganja.
Obloga iz komada prema dimenziji nagazne plohe.
Završni sloj parketa je mat lakiranje  sa svim potrebnim predradnjama te brušenjem i kitanjem, što je uključeno u cijenu. Završni sloj po odobrenju uzoraka predočenih projektantu.</t>
  </si>
  <si>
    <t>Popravak  unutranjih klupčica</t>
  </si>
  <si>
    <t>Maska parapetnih ventilokonvektora</t>
  </si>
  <si>
    <t>Dobava, doprema materijala i izrada obloge parapetnih ventilokovektora od protupožarnih impregniranih gipskartonskih ploča na tipskoj potkonstrukciji, UW/CW 50. Dimenzije rešetke ventilokonvektora 904x616x219 mm, a maska se izvodi 5 cm šire.</t>
  </si>
  <si>
    <t>Dobava, doprema materijala i izrada obloge parapetnih odvlaživača od protupožarnih impregniranih gipskartonskih ploča na tipskoj potkonstrukciji, UW/CW 50.  Dimenzije rešetke ovlaživača 835x260x750 mm, a maska se izvodi 5 cm šire.</t>
  </si>
  <si>
    <t>Stakav uključuje i rešetku i masku.</t>
  </si>
  <si>
    <t>a) rešetka</t>
  </si>
  <si>
    <t>b) maska</t>
  </si>
  <si>
    <t>a) prodor za rešetku 50x170 mm</t>
  </si>
  <si>
    <t>b) prodor za rešetku 360x370 mm</t>
  </si>
  <si>
    <t>Izrada, doprema i montaža novog čeličnog stubišta u spremnik podruma, kao postojeće demontirano. Širina stubišta 82 cm, 8x25+9x18,66 cm. Stavka uključuje i izvedbu  nosive konstrukcije i ograde.</t>
  </si>
  <si>
    <t>Novo stubište u spremnik u podrumu</t>
  </si>
  <si>
    <t>profilacija rustike motiva kvadra r.š. 11 cm</t>
  </si>
  <si>
    <t xml:space="preserve">Dobava, doprema i izvedba odvodnih vertikala fi 120 mm, uključivo obujmice, labuđe vratove  i elemente koljena, sve prema originalnom stanju od bakrenog lima, d=0,6 mm. Stavka uključuje sav potreban pričvrsni i spojni materijal te brtvljenje. U stavku uključeni sve predradnje i radovi do potpune funkcionalnosti. </t>
  </si>
  <si>
    <t xml:space="preserve">Osnovna krovna konstrukcija istočnog krila je dvostruka visulja na osnim razmacima od 3,90 do 4,90 m i raspona cca 14,80 m. Dvostruka visulja na većem dijelu krovišta naliježe na masivno ziđe.
Dvostruku visulju tvore vezne grede presjeka 20/24 cm, stupovi dimenzija 16/16 cm, kosnici 16/16 cm, razupora 16/18 cm poduprta rukama 12/12 cm. Ugrađene su dodatne grede dimenzija 14/14 cm u sredini razupora uzduž cijelog krovišta.
Preko podrožnica 16/18 cm oslanjaju se rogovi 12/15 cm na razmacima približno 1 m. Rogovi su ojačani vezicama 2x2,4/14 cm do spoja s podrožnicama. U sljemenu krovišta ugrađena je sljemena greda dimenzija 10/10 cm i drvene vezice. Pokrov je dvostruki biber crijep na letvama.
</t>
  </si>
  <si>
    <t xml:space="preserve">Stavka uključuje izvedbu kovane ograde, visine 100 cm. Sastoji se iz osnovnih vertikalnih elemenata 2x2cm na razmaku 90cm (bočno sidreni u krak stubišta stiliziranim elementom, u podeste sidreni s gornje strane), tri elementa koji prate kosinu stubišta/horizontalu podesta (gornji nosi rukovat, preostala dva iz dvostrukih elementa presjeka 2x0.4cm) i ispune geometrijskog uzorka iz kosih/horizontalnih i vertikalnih elemenata 2x2cm sa središnjim volutnim ukrasom.  Drveni rukohvat na vrhu ograde uključen u cijenu. Stavka uključuje, antikorozivnu zaštitu te završnu obradu bojom za metal. Uključivo i sve spojne elemente na obodne konstrukcije. </t>
  </si>
  <si>
    <t>Izrada, doprema i montaža nove ograde u sjevdernom podrumu. Visina ograde 100 cm. Ograda se sastoji od horizontalne prečke sagornj i donje strane te vertikalne ispune na razmaku 14 cm, sve od flah profila 30x6 mm. Svi elementi pocinčani i završno obrađeni u boju za metal.</t>
  </si>
  <si>
    <t>a) rukohvat</t>
  </si>
  <si>
    <t>b) led traka</t>
  </si>
  <si>
    <t xml:space="preserve">Izrada, doprema i montaža novih ograda u potkrovlju. Ograde se izvode od kaljenog lameliranog stakla 8+8 mm,  upeto u skriveni kontinuirani čelični nosač u podu po rubu galerije. Izvode se 2 zavojita komada (1/4 kruga, r=45cm, l=70cm) i ravni dio , visina od gotovog poda 100 cm, bez ruba/rukohvata na vrhu.  </t>
  </si>
  <si>
    <t>Unutarnja protupožarna jednokrilna zaokretna puna vrata prema shemi bravarske stavke V8</t>
  </si>
  <si>
    <r>
      <t>Izrada, dobava i ugradnja unutarnjih jednokrilnih zaokretnih protupožarnih punih vrata: 
- 4x klasa EI</t>
    </r>
    <r>
      <rPr>
        <vertAlign val="subscript"/>
        <sz val="10"/>
        <rFont val="Calibri"/>
        <family val="2"/>
      </rPr>
      <t>2</t>
    </r>
    <r>
      <rPr>
        <sz val="10"/>
        <rFont val="Calibri"/>
        <family val="2"/>
      </rPr>
      <t xml:space="preserve"> 60-C, u sistemu čeličnih profila s prekidom toplinskog mosta, ugradbene dubine 70 mm, kao 2.2 ili jednakovrijedno, krilo pocinčani čelični lim s protupožarnom ispunom, u svemu prema shemi.
- 2x klasa EI</t>
    </r>
    <r>
      <rPr>
        <vertAlign val="subscript"/>
        <sz val="10"/>
        <rFont val="Calibri"/>
        <family val="2"/>
      </rPr>
      <t>2</t>
    </r>
    <r>
      <rPr>
        <sz val="10"/>
        <rFont val="Calibri"/>
        <family val="2"/>
      </rPr>
      <t xml:space="preserve"> 30-C-Sm, u sistemu čeličnih profila s prekidom toplinskog mosta, ugradbene dubine 60 mm, kao 2.1 ili jednakovrijedno, krilo pocinčani čelični lim s protupožarnom ispunom, u svemu prema shemi. 
Krilo i dovratnik su u istoj ravnini.
Vrata sadrže standardan okov, cilindar brava, kvaka, hidraulički zatvarač HRN EN 1154 ili jednakovrijedno, min. 3 panta, podni odbojnik, automatski prag bez barijere.</t>
    </r>
  </si>
  <si>
    <t xml:space="preserve">b)   jednokrilna vrata:  svijetli otvor 90x285 cm ( smjer otvaranja D)
</t>
  </si>
  <si>
    <t>c)  dvokrilna vrata:  svijetli otvor 135x285 cm</t>
  </si>
  <si>
    <t xml:space="preserve">b)   jednokrilnia vrata:  svijetli otvor 90x285 cm ( smjer otvaranja D)
</t>
  </si>
  <si>
    <t xml:space="preserve">b) dvokrilna vrata:  svijetli otvor 130x285 cm
</t>
  </si>
  <si>
    <t>Vanjska dvostruka jednokrilna zaokretna usklađena ustakljena vrata s nadsvjetlom prema stolarskoj shemi V4</t>
  </si>
  <si>
    <t>Pregled i obnova vanjskih dvostrukih jednokrilnih zaokretnih usklađenih ustakljenih vrata s  nadsvjetlom. Unutarnja krila i dovratnik iz hrasta, vanjska krila i dovratnik iz crnogorice.</t>
  </si>
  <si>
    <t>Izrada, dobava i doprema krovnog jednokrilnog otklopnog prozora sa središnjim ovjesom.</t>
  </si>
  <si>
    <t>Izrada, dobava i doprema krovnog jednokrilnog otklopnog prozora sa središnjim ovjesom, sa otvaranjem na vatrodojavu.</t>
  </si>
  <si>
    <t>Izvedba  fasadnog sustava sa završnom bojom - lažni dimnjaci</t>
  </si>
  <si>
    <t>Završno dekorativno bojanje ožbukane površine pročelja</t>
  </si>
  <si>
    <t>Obračun po m2 obojane površine.</t>
  </si>
  <si>
    <t>Pozicija: pročelja i zid Radićeva.</t>
  </si>
  <si>
    <t xml:space="preserve"> Obračun po m1 razvijene širine profilacije bez ikakvih drugih dodataka.</t>
  </si>
  <si>
    <t>Završno dekorativno bojanje vučenih profilacija</t>
  </si>
  <si>
    <t>Obračun po m1 obojane površine profilacija.</t>
  </si>
  <si>
    <r>
      <t>a) krovni vijenac (+13,10) - sjever, jug, r.š.</t>
    </r>
    <r>
      <rPr>
        <sz val="10"/>
        <rFont val="Calibri"/>
        <family val="2"/>
      </rPr>
      <t>~25 cm</t>
    </r>
  </si>
  <si>
    <r>
      <t>b) krovni vijenac (+12,48) - sjever, jug, r.š.</t>
    </r>
    <r>
      <rPr>
        <sz val="10"/>
        <rFont val="Calibri"/>
        <family val="2"/>
      </rPr>
      <t>~120 cm</t>
    </r>
  </si>
  <si>
    <r>
      <t>c) krovni vijenac (kosi zabat) - zapad, r.š.</t>
    </r>
    <r>
      <rPr>
        <sz val="10"/>
        <rFont val="Calibri"/>
        <family val="2"/>
      </rPr>
      <t>~75 cm</t>
    </r>
  </si>
  <si>
    <r>
      <t>d) krovni vijenac (ravni dio zabat) - zapad, r.š.</t>
    </r>
    <r>
      <rPr>
        <sz val="10"/>
        <rFont val="Calibri"/>
        <family val="2"/>
      </rPr>
      <t>~100 cm</t>
    </r>
  </si>
  <si>
    <r>
      <t>e) krovni vijenac (+13,16) - zapad, r.š.</t>
    </r>
    <r>
      <rPr>
        <sz val="10"/>
        <rFont val="Calibri"/>
        <family val="2"/>
      </rPr>
      <t>~25 cm</t>
    </r>
  </si>
  <si>
    <r>
      <t>f) krovni vijenac (+12,54) - zapad, r.š.</t>
    </r>
    <r>
      <rPr>
        <sz val="10"/>
        <rFont val="Calibri"/>
        <family val="2"/>
      </rPr>
      <t>~120 cm</t>
    </r>
  </si>
  <si>
    <r>
      <t>g krovni vijenac (+12,54-središnji dio) - zapad, r.š.</t>
    </r>
    <r>
      <rPr>
        <sz val="10"/>
        <rFont val="Calibri"/>
        <family val="2"/>
      </rPr>
      <t>~35 cm</t>
    </r>
  </si>
  <si>
    <r>
      <t>h) krovni vijenac (+13,77) - istok, r.š.</t>
    </r>
    <r>
      <rPr>
        <sz val="10"/>
        <rFont val="Calibri"/>
        <family val="2"/>
      </rPr>
      <t>~65 cm</t>
    </r>
  </si>
  <si>
    <r>
      <t>i) krovni vijenac (+13,52) - istok, r.š.</t>
    </r>
    <r>
      <rPr>
        <sz val="10"/>
        <rFont val="Calibri"/>
        <family val="2"/>
      </rPr>
      <t>~135 cm</t>
    </r>
  </si>
  <si>
    <r>
      <t>j) profilacija (+11,70) - sjever, jug, r.š.</t>
    </r>
    <r>
      <rPr>
        <sz val="10"/>
        <rFont val="Calibri"/>
        <family val="2"/>
      </rPr>
      <t>~20 cm</t>
    </r>
  </si>
  <si>
    <r>
      <t>k) profilacija (+8,70) - sjever, jug, r.š.</t>
    </r>
    <r>
      <rPr>
        <sz val="10"/>
        <rFont val="Calibri"/>
        <family val="2"/>
      </rPr>
      <t>~35 cm</t>
    </r>
  </si>
  <si>
    <r>
      <t>l) profilacija (+4,06) - sjever, jug, r.š.</t>
    </r>
    <r>
      <rPr>
        <sz val="10"/>
        <rFont val="Calibri"/>
        <family val="2"/>
      </rPr>
      <t>~70 cm</t>
    </r>
  </si>
  <si>
    <r>
      <t>m) profilacija (+0,60) - sjever, jug, r.š.</t>
    </r>
    <r>
      <rPr>
        <sz val="10"/>
        <rFont val="Calibri"/>
        <family val="2"/>
      </rPr>
      <t>~30 cm</t>
    </r>
  </si>
  <si>
    <r>
      <t>n) profilacija (+11,70) - zapad, r.š.</t>
    </r>
    <r>
      <rPr>
        <sz val="10"/>
        <rFont val="Calibri"/>
        <family val="2"/>
      </rPr>
      <t>~20 cm</t>
    </r>
  </si>
  <si>
    <r>
      <t>o) profilacija (+8,70) - zapad, r.š.</t>
    </r>
    <r>
      <rPr>
        <sz val="10"/>
        <rFont val="Calibri"/>
        <family val="2"/>
      </rPr>
      <t>~35 cm</t>
    </r>
  </si>
  <si>
    <r>
      <t>p) profilacija (+4,06) - zapad, r.š.</t>
    </r>
    <r>
      <rPr>
        <sz val="10"/>
        <rFont val="Calibri"/>
        <family val="2"/>
      </rPr>
      <t>~70 cm</t>
    </r>
  </si>
  <si>
    <r>
      <t>r) profilacija (+11,55) - istok, r.š.</t>
    </r>
    <r>
      <rPr>
        <sz val="10"/>
        <rFont val="Calibri"/>
        <family val="2"/>
      </rPr>
      <t>~20 cm</t>
    </r>
  </si>
  <si>
    <r>
      <t>s) profilacija (+8,60) - istok, r.š.</t>
    </r>
    <r>
      <rPr>
        <sz val="10"/>
        <rFont val="Calibri"/>
        <family val="2"/>
      </rPr>
      <t>~55 cm</t>
    </r>
  </si>
  <si>
    <r>
      <t>t) profilacija (iznad +9,01-središnji kosi dio) - istok, r.š.</t>
    </r>
    <r>
      <rPr>
        <sz val="10"/>
        <rFont val="Calibri"/>
        <family val="2"/>
      </rPr>
      <t>~120 cm</t>
    </r>
  </si>
  <si>
    <r>
      <t>u) profilacija (+9,01-središnji dio) - istok, r.š.</t>
    </r>
    <r>
      <rPr>
        <sz val="10"/>
        <rFont val="Calibri"/>
        <family val="2"/>
      </rPr>
      <t>~140 cm</t>
    </r>
  </si>
  <si>
    <r>
      <t>v) profilacija (+7,87-središnji dio) - istok, r.š.</t>
    </r>
    <r>
      <rPr>
        <sz val="10"/>
        <rFont val="Calibri"/>
        <family val="2"/>
      </rPr>
      <t>~60 cm</t>
    </r>
  </si>
  <si>
    <r>
      <t>z) profilacija (+4,00) - istok, r.š.</t>
    </r>
    <r>
      <rPr>
        <sz val="10"/>
        <rFont val="Calibri"/>
        <family val="2"/>
      </rPr>
      <t>~30 cm</t>
    </r>
  </si>
  <si>
    <r>
      <t>aa) profilacija (+0,00) - istok, r.š.</t>
    </r>
    <r>
      <rPr>
        <sz val="10"/>
        <rFont val="Calibri"/>
        <family val="2"/>
      </rPr>
      <t>~80 cm</t>
    </r>
  </si>
  <si>
    <r>
      <t>ab) profilacija oko prozora 2. kata - sjever, jug, r.š.</t>
    </r>
    <r>
      <rPr>
        <sz val="10"/>
        <rFont val="Calibri"/>
        <family val="2"/>
      </rPr>
      <t>~25 cm</t>
    </r>
  </si>
  <si>
    <r>
      <t>ac) profilacija iznad prozora 1. kata - sjever, jug, r.š.</t>
    </r>
    <r>
      <rPr>
        <sz val="10"/>
        <rFont val="Calibri"/>
        <family val="2"/>
      </rPr>
      <t>~70 cm</t>
    </r>
  </si>
  <si>
    <r>
      <t>ad) profilacija oko prozora 1. kata - sjever, jug, r.š.</t>
    </r>
    <r>
      <rPr>
        <sz val="10"/>
        <rFont val="Calibri"/>
        <family val="2"/>
      </rPr>
      <t>~25 cm</t>
    </r>
  </si>
  <si>
    <r>
      <t>ae) profilacija ispod prozora 1. kata - sjever, jug, r.š.</t>
    </r>
    <r>
      <rPr>
        <sz val="10"/>
        <rFont val="Calibri"/>
        <family val="2"/>
      </rPr>
      <t>~20 cm</t>
    </r>
  </si>
  <si>
    <r>
      <t>af) profilacija oko prozora prizemlja - sjever, jug, r.š.</t>
    </r>
    <r>
      <rPr>
        <sz val="10"/>
        <rFont val="Calibri"/>
        <family val="2"/>
      </rPr>
      <t>~25 cm</t>
    </r>
  </si>
  <si>
    <r>
      <t>ag) profilacija ispod prozora prizemlja - sjever, jug, r.š.</t>
    </r>
    <r>
      <rPr>
        <sz val="10"/>
        <rFont val="Calibri"/>
        <family val="2"/>
      </rPr>
      <t>~25 cm</t>
    </r>
  </si>
  <si>
    <r>
      <t>ah) profilacija oko prozora 2. kata - zapad, r.š.</t>
    </r>
    <r>
      <rPr>
        <sz val="10"/>
        <rFont val="Calibri"/>
        <family val="2"/>
      </rPr>
      <t>~25 cm</t>
    </r>
  </si>
  <si>
    <r>
      <t>ai) profilacija između prozora 2. kata, središnji dio - zapad, r.š.</t>
    </r>
    <r>
      <rPr>
        <sz val="10"/>
        <rFont val="Calibri"/>
        <family val="2"/>
      </rPr>
      <t>~25 cm</t>
    </r>
  </si>
  <si>
    <r>
      <t>aj) profilacija iznad prozora 1. kata - zapad, r.š.</t>
    </r>
    <r>
      <rPr>
        <sz val="10"/>
        <rFont val="Calibri"/>
        <family val="2"/>
      </rPr>
      <t>~70 cm</t>
    </r>
  </si>
  <si>
    <r>
      <t>ak) profilacija oko prozora 1. kata - zapad, r.š.</t>
    </r>
    <r>
      <rPr>
        <sz val="10"/>
        <rFont val="Calibri"/>
        <family val="2"/>
      </rPr>
      <t>~25 cm</t>
    </r>
  </si>
  <si>
    <r>
      <t>al) profilacija ispod prozora 1. kata - zapad, r.š.</t>
    </r>
    <r>
      <rPr>
        <sz val="10"/>
        <rFont val="Calibri"/>
        <family val="2"/>
      </rPr>
      <t>~20 cm</t>
    </r>
  </si>
  <si>
    <r>
      <t>ao) profilacija oko prozora 2. kata - istok, r.š.</t>
    </r>
    <r>
      <rPr>
        <sz val="10"/>
        <rFont val="Calibri"/>
        <family val="2"/>
      </rPr>
      <t>~20 cm</t>
    </r>
  </si>
  <si>
    <r>
      <t>ap) profilacija oko prozora 1. kata - istok, r.š.</t>
    </r>
    <r>
      <rPr>
        <sz val="10"/>
        <rFont val="Calibri"/>
        <family val="2"/>
      </rPr>
      <t>~20 cm</t>
    </r>
  </si>
  <si>
    <r>
      <t>ar) profilacija ispod prozora 1. kata - istok, r.š.</t>
    </r>
    <r>
      <rPr>
        <sz val="10"/>
        <rFont val="Calibri"/>
        <family val="2"/>
      </rPr>
      <t>~20 cm</t>
    </r>
  </si>
  <si>
    <r>
      <t>as) profilacija iznad prozora prizemlja (lučna) - istok, r.š.</t>
    </r>
    <r>
      <rPr>
        <sz val="10"/>
        <rFont val="Calibri"/>
        <family val="2"/>
      </rPr>
      <t>~50 cm</t>
    </r>
  </si>
  <si>
    <r>
      <t>at) profilacija ispod prozora prizemlja - istok, r.š.</t>
    </r>
    <r>
      <rPr>
        <sz val="10"/>
        <rFont val="Calibri"/>
        <family val="2"/>
      </rPr>
      <t>~35 cm</t>
    </r>
  </si>
  <si>
    <r>
      <t>am) profilacija između prozora 1. kata, središnji dio-zapad, r.š.</t>
    </r>
    <r>
      <rPr>
        <sz val="10"/>
        <rFont val="Calibri"/>
        <family val="2"/>
      </rPr>
      <t>~30 cm</t>
    </r>
  </si>
  <si>
    <r>
      <t>an) profilacija između prozora 1. kata, središnji dio-zapad, r.š.</t>
    </r>
    <r>
      <rPr>
        <sz val="10"/>
        <rFont val="Calibri"/>
        <family val="2"/>
      </rPr>
      <t>~10 cm</t>
    </r>
  </si>
  <si>
    <t>Paropropusna žbuka na svodovima</t>
  </si>
  <si>
    <t xml:space="preserve">Dobava, doprema materijala i ugradnja temeljne žbuka i grube žbuke na svodovima, svjetle bež boje, na bazi prirodnog hidrauličkog vapna (HRN EN 459-1 ili jednakovrijedno) velike paropropusnosti sa hidrauličkim djelovanjem (klase R, prema EN 998-1 ili jednakovrijedno, klase CSII prema EN 1015-11 ili jednakovrijedno, µ &lt; 15 prema EN 1015-19 ili jednakovrijedno, Dmax = 2,5mm), u debljini 2.5 cm.  </t>
  </si>
  <si>
    <t>Fina žbuka na svodovima</t>
  </si>
  <si>
    <t>Stavka uključuje i izvedbu 2 mm debljine linijske metalne dilatacijske trake na granici uzoraka i dilatacija. Završna obrada mjed/bronca.</t>
  </si>
  <si>
    <t>e) metalna dilatacija</t>
  </si>
  <si>
    <t>Točan ton završnog sloja će se odrediti nakon dostave uzorka, a što je uključeno u cijenu stavke te prema odabiru i uz odobrenje nadležnog predstavnika GZZSKP.</t>
  </si>
  <si>
    <t xml:space="preserve">Završno dvokratno bojanje ožbukane površine pročelja u dva tona boje mineralnom dvokomponentnom bojom na bazi silikata (sa vezivom na bazi vodenog stakla - kalijev silikat) koja ne stvara film na površini već prodire u strukturu žbuke i na taj način osigurava dugovječnost. U cijenu je uključen sav potreban rad i materijal. Primjena prema uputstvu proizvođača, uključivo sve propisane postupke i predradnje kao i propisanu impregnaciju prije i nakon nanošenja boje. U tonu prema prijedlogu nadležnog konzervatorskog odjela odabranog na temelju uzoraka izvedenih na samoj fasadi. </t>
  </si>
  <si>
    <t xml:space="preserve">Završno dvokratno bojanje ožbukane površine profilacija u dva tona boje mineralnom dvokomponentnom bojom na bazi silikata (sa vezivom na bazi vodenog stakla - kalijev silikat) koja ne stvara film na površini već prodire u strukturu žbuke i na taj način osigurava dugovječnost. U cijenu je uključen sav potreban rad i materijal. Primjena prema uputstvu proizvođača, uključivo sve propisane postupke i predradnje kao i propisanu impregnaciju prije i nakon nanošenja boje. U tonu prema prijedlogu nadležnog konzervatorskog odjela odabranog na temelju uzoraka izvedenih na samoj fasadi. </t>
  </si>
  <si>
    <t>Odabir agregata i pigmenta prema uzorku, a koji je u cijeni stavke i uz odobrenje konzervatora.</t>
  </si>
  <si>
    <t xml:space="preserve">Dobava, doprema materijala i ugradnja dekorativne paropropusne boje na bazi silikata, na podlogu pripremljenu sa temeljnim premazom. Karakteristike boje: veličina zrna &lt; 100µm, paropropusnost Sd &lt; 0,14m. Boja se nanosi u dva sloja. </t>
  </si>
  <si>
    <t>Nacrti, tehnički opis i troškovnik čine jedinstvenu cjelinu Izvedbenog projekta</t>
  </si>
  <si>
    <t>Izvoditelj   je  dužan  proučiti  sve  gore  navedene  dijelove  Izvedbenog  projekta, te  u slučaju nejasnoća tražiti objašnjenje  od projektanta, odnosno iznijeti  svoje mišljenje  u pismenoj formi.</t>
  </si>
  <si>
    <t>Izvoditelj  je prije  početka radova  dužan pregledati stanje izgrađenosti objekta,  te u slučaju nejasnoća tražiti objašnjenje  od projektanta, odnosno iznijeti  svoje mišljenje  u pismenoj formi.</t>
  </si>
  <si>
    <t>Nepoznavanje tekstualnog ili crtanog dijela projekta i troškovnika kao ni nepoznavanje stanja objekta  neće se prihvatiti kao razlog  za povišenje jediničnih cijena ili pogreške u izvedbi.</t>
  </si>
  <si>
    <t>Izvoditelj   je  prilikom  uvođenja  u  posao  dužan,  u  okviru  ugovorene  cijene,  preuzeti objekt,   te s  investitorom  usuglasiti  sva  pitanja   koja  se  odnose  na  specifičnost gradilišta.</t>
  </si>
  <si>
    <t>Od tog  trenutka pa do primopredaje, Izvoditelj  je odgovoran  za stvari i osobe koje se nalaze unutar gradilišta.</t>
  </si>
  <si>
    <t xml:space="preserve">Izvoditelj  je dužan,  u okviru  ugovorene  cijene:  </t>
  </si>
  <si>
    <t>a. ugraditi propisani   adekvatan  i prema hrvatskim normama  atestiran materijal</t>
  </si>
  <si>
    <t>b. izvoditelj  je također dužan pri  izradi konstrukcija kontrolirati ugrađeni  konstruktivni materijal</t>
  </si>
  <si>
    <t>c. kompletirati valjane atestne dokumentacije, potvrde o sukladnosti, izjave o sukladnosti ,ispitnih listova, dokaza o kvaliteti i jamstvenih listova na isporučenu opremu, uređaje i instalaciju za sve sustave grijanja u objektu</t>
  </si>
  <si>
    <t xml:space="preserve">d. obuhatiti i provođenje neophodnih ispitivanja i mjerenja (ispitivanje mikroklime i učinkovitost ventilacije) od strane ovlaštenih ustanova s popratnim zapisnicima (tehnički pregled). Mjerenje i dokazivanje svih projektom predviđenih parametara mikroklime i provjetravana za sve tretirane prostore po sustavima. Izvodi neovisna ovlaštena ustanova uz suglasnost nadzornog inženjera. </t>
  </si>
  <si>
    <t>e. Uključiti popratne zapisnike i uvjerenja, uvođenje u posao, upoznavanje s građevinom, obilježavanje prodora i proboja, građevinska pripomoć pri uspostavi prodora, šlicanja u zidovima, podovima, stropovima za prolaz i polaganje instalacija i usklađivanje s ostalim sudionicima u gradnji</t>
  </si>
  <si>
    <t>f. kontakti s nadzornom službom</t>
  </si>
  <si>
    <t>g. Obuhvatiti sav sitni    potrošni   i   spojni   materijal  neophodan   za   ispravno izvođenje radova. obuhvatiti transportne  troškove unutarnjeg   i   vanjskog   transporta materijala   i   alata   do   mjesta   ugradnje, te   istovara  i unutarnjeg transporta uvozne opreme.</t>
  </si>
  <si>
    <t xml:space="preserve">h. Uključiti konačno upuštanje instalacije u pogon i probni pogon te balansiranje sustava.Projekt izvedenog stanja strojarskog projekta, uvezan u tri zasebna primjerka u papirnatom obliku i na CD-u. Projekt izvedenog stanja se izrađuje na temelju unesenih svih izmjena od strane izvođaća u jedan primjerak dokumentacije. Izrada pismenih uputa za rukovanje i održavanje za sve sustave grijanja, hlađenja i ventilacije korisnika zaduženog za predmetne instalacije. </t>
  </si>
  <si>
    <t>Za instalacijske sustave Izvoditelj  je dužan, u okviru ugovorene  cijene  dati  zapisnike o mjerenju  i ateste kao što  je navedeno u Programu kontrole i osiguranja  kvalitete.</t>
  </si>
  <si>
    <t>Izvoditelj    je   u   okviru   ugovorene   cijene   dužan   izvršiti  koordinaciju    radova   svih kooperanata na način da omogući kontinuirano odvijanje posla i zaštitu  već izvedenih radova.</t>
  </si>
  <si>
    <t>Izvoditelj  je dužan,  u okviru  ugovorene  cijene,  osigurati gradilište od djelovanja  više sile i krađe.</t>
  </si>
  <si>
    <t>Sav  rad  i  materijal vezan  vezan  za  organizaciju  gradnje:   ograde,   vrata   gradilišta, uredi,   spremišta  materijala i  alata,   telefonski, električni,  vodovodni  i  sl.  priključci gradilišta kao i cijena korištenja priključaka uključeni su u ugovorenu cijenu.</t>
  </si>
  <si>
    <t>Izvoditelj   će,  uz  odobrenje   nadzorne   službe,   izraditi   terminski   plan aktivnosti na gradilištu i njime odrediti dinamiku financiranja, dobave materijala, opreme i slično, prvenstveno vodeći računa o ugovorenom roku dovršenja  svih aktivnosti.</t>
  </si>
  <si>
    <t>Sva oštećenja nastala tijekom  gradnje  izvoditelj  će otkloniti o svom  trošku,  u roku koji ne ometa  dinamiku izvođenja i primopredaje.</t>
  </si>
  <si>
    <t>Izvoditelj  je obvezan sva čišćenja uključiti u cijenu  pripremno završnih  radova,  jer  se ne mogu posebno obračunavati.</t>
  </si>
  <si>
    <t>U slučaju da u međuvremenu dođe do promjene  dimenzija,  ili tehničkih karakteristika projektom predviđenog  instalacijskog materijala i opreme  za grijanje,  ventilaciju i klimatizaciju izvoditelj  je dužan projektantu dostaviti na suglasnost tehničke karakteristike novih modela opreme  kako ne bi došlo do negativnih  posljedica  prilikom ugradnje  i korištenja.</t>
  </si>
  <si>
    <t>Ukoliko  Ponuditelj   umjesto  projektom predviđenih   uređaja,   opreme   i  instalacijskog materijala ponudi  neke  alternativne proizvode  za  ugradnju,   isti moraju  biti jednakovrijedni. U skladu sa pravilima struke Ponuditelj mora u svojoj ponudi  prikladnim  sredstvima   dokazati   da  ponuđena  roba,   usluge  i  radovi  koji odgovaraju normi, odgovaraju naručiteljevim  izvedbenim i funkcionalnim zahtjevima, a njihove  specifikacije,  opseg  isporuke  i  tehničke   karakteristike  mora  usporediti   i ovjeriti  tijelo koje je od tijela državne uprave ovlašteno provoditi postupke ocjene ukladnosti.</t>
  </si>
  <si>
    <t>Ocjena sukladnosti ili Potvrda o jednakovrijednosti se treba odnositi na:</t>
  </si>
  <si>
    <t xml:space="preserve">1. energetske i ekološke karakteristike, </t>
  </si>
  <si>
    <t xml:space="preserve">2.ušteda primarne energije, </t>
  </si>
  <si>
    <t>3.kompletnost i kompatibilnost isporuke,</t>
  </si>
  <si>
    <t xml:space="preserve">4.akustičke i izolacijske karakteristike, </t>
  </si>
  <si>
    <t xml:space="preserve">5.električne karakteristike, </t>
  </si>
  <si>
    <t>6. konstruktivne karakteristike</t>
  </si>
  <si>
    <t>NAPOMENA:   Bez   ovjerene   Potvrde    o  jednakovrijednosti,  Ponuditelj    je   obavezan isporučiti i ugraditi instalacijski materijal i opremu  navedenu u Izvedbenom projektu i pripadnom  troškovniku po cijeni iz Ugovornog  troškovnika, te nema pravo na razliku  u cijeni između ponuđene i projektirane opreme.</t>
  </si>
  <si>
    <t>Ukoliko  odgovorna  osoba  ovlaštene tvrtke  izda    Potvrdu  o  jednakovrijednosti  bez suglasnosti projektanta, u tom  slučaju projektant  ne snosi  nikakvu odgovornost  za eventualne  negativne  posljedice  prilikom ugradnje  i eksploatacije termoenergetskog postrojenja  i  instalacije,   već  svu   materijalnu  i  moralnu   odgovornost  preuzima odgovornu osoba koja je izdala Potvrdu o jednakovrijednosti.</t>
  </si>
  <si>
    <t>Izvoditelj  je dužan pridržavati se svih važećih zakona i propisa  i to naročito Zakona o  gradnji,  Zakona   o  zaštiti  od  požara,   Zakona   o  zaštiti   na  radu, Hrvatskih normi  itd.</t>
  </si>
  <si>
    <t>Sve navedene stavke obuhvaćaju dobavu i montažu</t>
  </si>
  <si>
    <t>a) Toplinski/ rashladni učin (kW), el. priključna snaga (W, kW),</t>
  </si>
  <si>
    <t>količina protoke medija (m3/h), pritisak (kPa, bar); dimenzija</t>
  </si>
  <si>
    <t>(mm, m); površina (m2); masa tj. težina (kg), EER, COP</t>
  </si>
  <si>
    <t>: +/- 5%</t>
  </si>
  <si>
    <t>b) Zvučni tlak na udaljenosti od 1m i visini od 1,5m :</t>
  </si>
  <si>
    <t>kod 250 Hz, +/- 5 dB(A)</t>
  </si>
  <si>
    <t>NAPOMENA: Vanjske jedinice dizalice topline zrak - zrak su ograničene na visinu uređaja od 150 cm radi smještaja opreme. Za visinu dizalica  topline zrak - zrak  nema odstupanja +/- 5%, nego moraju biti visoke do 150 cm.</t>
  </si>
  <si>
    <t>INSTALACIJA GRIJANJA, HLAĐENJA I VENTILACIJE</t>
  </si>
  <si>
    <t>Poz.</t>
  </si>
  <si>
    <t>JM</t>
  </si>
  <si>
    <t>Kol.</t>
  </si>
  <si>
    <t>JC (eur)</t>
  </si>
  <si>
    <t>Ukupno (eur)</t>
  </si>
  <si>
    <t>Postojeće instalacije / oprema / demontaža / ponovna montaža</t>
  </si>
  <si>
    <t>Demontaža postojeće tlačne klima komore 3000 m3/h za ventilaciju Zlatne dvorane. Komora se nalazi u podrumu. Komora je dimenzije 610x610x2500mm. Kanalni razvod se NE demontira!
U cijeni demontaže je potrebno predvidjeti i sve potrebne skele, fiksne i pomične za rad na visini, ovjesni i priključni materijal sukladno postojećim propisima. Cijevni razvod se zbrinjava. Potvrda o zbrinjavanju na ovlaštenoj deponiji se dostavlja investitoru.</t>
  </si>
  <si>
    <t>kpl</t>
  </si>
  <si>
    <t>Demontaža postojećih podnih vodenih ventilokonvkektora za grijanje prostorija na  1 katu. 
U cijeni demontaže je potrebno predvidjeti i sve potrebne skele, fiksne i pomične za rad na visini, ovjesni i priključni materijal sukladno postojećim propisima. Potvrda o zbrinjavanju na ovlaštenoj deponiji se dostavlja investitoru. Dimenzije ventilokonvektora su 320x110mm a dužine:</t>
  </si>
  <si>
    <t>2m</t>
  </si>
  <si>
    <t>3m</t>
  </si>
  <si>
    <t>2,5m</t>
  </si>
  <si>
    <t>Demontaža postojećih fasadnih rešetki dimenzije:</t>
  </si>
  <si>
    <t>385/600</t>
  </si>
  <si>
    <t>Kemijsko i strojno čišćenje  ventilacijskih limenih kanala za ventilaciju Zlatne dvorane dimenzije 450/400 mm i ventilacijskih rešetki u dvorani ( 6 kom)</t>
  </si>
  <si>
    <t>Redoviti servis postojeće plinske kotlovnice (Viessmann 350 kW). Stavka uključuje, servis kotla, plamenika, cirkulacijskih pumpi, sigurnosnih ventila, plinske rampe, mehaničke ventilacije kotlovnice ( odsisni ventilatori u EX izvedbi 2200m3/h, krilne sklopke) puštanje u pogon nakon ispitivanja nepropusnosti cijevne instalacije u kotlovnici od strane ovlaštenog servisa proizvođača, pregled upravljačke jedinice, uz izdavanje potrebnih uputa za korištenje, atesta do putpune pogonske funkcijonalnosti.</t>
  </si>
  <si>
    <t>Demontaža postojeće  i montaža nove opreme u kotlovnici</t>
  </si>
  <si>
    <t>Ekspanzijska posuda, 
V=650l;
Priključak=DN32
Ispust=DN15</t>
  </si>
  <si>
    <t>Leptirasta zaklopka za toplu vodu, PN 16, međuprirubnička, s ručicom, u kompletu s prirubnicama, brtvama i vijcima potrebne duljine, slijedećih dimenzija:</t>
  </si>
  <si>
    <t>DN 100</t>
  </si>
  <si>
    <t>DN 80</t>
  </si>
  <si>
    <t>DN 32</t>
  </si>
  <si>
    <t>nepovratni ventil PN16</t>
  </si>
  <si>
    <t>hvatač nečistoće PN16</t>
  </si>
  <si>
    <t>ispusna slavina</t>
  </si>
  <si>
    <t>DN 15</t>
  </si>
  <si>
    <t>manometar 0-6bar</t>
  </si>
  <si>
    <t>Izmještanje postojećeg INOX dimnjaka u potkrovlju. Dimnjak je promjera 300 mm. U stavci je obuhvaćeno:
-demontaža postojećeg dijela dimnaka u potkrovlju dužine 7 m
-dobava i montaža nove vertikale dimnjaka promjera 300mm od materijala AISI 316L (1.4404) dužine 7 m sa 2 koljena od 30°
-ishođenje pozitivnog dimnjačarskog nalaza nakon puštanja u pogon</t>
  </si>
  <si>
    <t>Demontaža i ponovna montaža postojećih gusenih radijatora BIANCOCLASSSIC proizvodača  IDEAL CLIMA.  U stavci demontaže i ponovne montaže je potrebno uključiti i:
a. Demontaža priključne armature na cijevnom razvodu tople vode (zaporni ventil,  ventil, ,...) te zbrinjavanje armature.
b. Pražnjenje i punjenje ogrjevne vode iz cijevnog razvoda.
c. Demontirani radijatori se restauriraju ( skidanje postojeće boje, novo bojanje) - odabir boje od strane glavnog projektanta
d. Restaurirani radijatori se montiraju na postojeće pozicije
e.Demontaža i ponovna montaža ovjesnog pribora. Ovjesni pribor se restaurira  (skidanje postojeće boje, novo bojanje)  - odabir boje od strane glavnog projektanta
U cijeni demontaže i montaže je potrebno predvidjeti i sve potrebne skele, fiksne i pomične za rad na visini, ovjesni i priključni materijal sukladno postojećim propisima. Cijevni razvod se zbrinjava. Potvrda o zbrinjavanju na ovlaštenoj deponiji se dostavlja investitoru.</t>
  </si>
  <si>
    <t>MODEL 4-871, radijatorski čep R 1 1/4", broj članaka</t>
  </si>
  <si>
    <t>MODEL 6-665, radijatorski čep R 1 1/4", broj članaka</t>
  </si>
  <si>
    <t>MODEL 4-665, radijatorski čep R 1 1/4", broj članaka</t>
  </si>
  <si>
    <t>MODEL 4-571, radijatorski čep R 1 ", broj članaka</t>
  </si>
  <si>
    <t xml:space="preserve">Tlačno neovisni termostatski radijatorski ventil s predregulacijskom skalom od 1-7 i N za podešavanje protoka od: 25-135l/h, certificiran prema EN215 za dvocijevne sustave grijanja s prisilnom cirkulacijom, za ugradnju na radijatore, </t>
  </si>
  <si>
    <t xml:space="preserve">Termostatska glava s plinskim punjenjem, za regulaciju temperature prostora, zaštitom od smrzavanja i mogućnošću ograničavanja i fiksiranja postavne vrijednosti temperature,predviđene za ugradnju u javne prostore s zaštitom od kređe i naknadnog podešavanje za ventile </t>
  </si>
  <si>
    <t>Radijatorski zaporni ventil povrata (prigušnica)  za ugradnju u povrat radijatora, kutne ili ravne izvedbe</t>
  </si>
  <si>
    <t>Demontaža cijevnog razvoda od čeličnih cijevi  za grijanje . 
U cijeni demontaže je potrebno predvidjeti i sve potrebne skele, fiksne i pomične za rad na visini, ovjesni i priključni materijal sukladno postojećim propisima. Potvrda o zbrinjavanju na ovlaštenoj deponiji se dostavlja investitoru. Dimenzije :</t>
  </si>
  <si>
    <t>DN 65</t>
  </si>
  <si>
    <t>DN 50</t>
  </si>
  <si>
    <t>DN 40</t>
  </si>
  <si>
    <t>DN 25</t>
  </si>
  <si>
    <t>DN 20</t>
  </si>
  <si>
    <t>DN 10</t>
  </si>
  <si>
    <t>Čelične bešavne cijevi prema DIN 2440, kvalitete St 35.8,, uključivo svi fazonski komadi, koljena, redukcije, spojnice i slično, oličene dvostrukim premazom temeljne boje, uz prethodno mehaničko čišćenje od hrđe. sljedećih dimenzija:</t>
  </si>
  <si>
    <t>Izolacija cjevovoda , opreme i armature slabo gorivom izolacijom s parnom branom, prema HRN DIN 4102 - dio 1/klasifikacija B1 (N.N. broj 69/97). Materijal izolacije mora imati parnu branu i slijedeće termodinamičke karakteristike: toplinska vodljivost kod 0oC: l (W/moC) £ 0,033, koef. otpora difuziji vodene pare: m ³ 10.000, koef. vodljivosti difuzije vodene pare: d (g/mhbar 10 -3) = 0,00013, upijanje vode difuzijom maksimalno 0,27% u odnosu na volumen i temperaturno područje primjene -50¸105oC. 
Debljina izolacije za cjevovod dimenzija do DN 20 iznosi 20 mm, za cjevovod od DN20 do DN50 debljina izolacije jednaka je nazivnom promjeru cijevi, dok za cjevovode od DN65 do DN100 debljina izolacije iznosi 60 mm, a za cjevovode od DN125 i iznad debljina izolacije iznosi 80 mm</t>
  </si>
  <si>
    <t>Automatski odzračni lončić u kompletu sa nepovratnim ventilom radi mogućnost izmjene lončića pod tlakom</t>
  </si>
  <si>
    <t>Razni tipski, pocinčani materijal za ovješenje i učvrščenje (držači cjevovoda, obujmice, zavješenja, pričvrsnice, podupore te ostala pomoćna učvršćenja za montažu, uz potrebne matice i vijke) sa umecima za zvučnu izolaciju, sve u potrebnoj količini i kvaliteti proiizvod kao "SIKLA".</t>
  </si>
  <si>
    <t>Građevinska  pripomoć, sa bušenjima, otvaranjem prodora za prolaz instalacija  i ponovnim zatvaranjem u prvobitno stanje. U stavku uključeno skupljanje otpadnog materijala nastalog svim opisanim radovima, te odvoz i zbrinjavanje istog bez iznimke.</t>
  </si>
  <si>
    <t>Sitni    potrošni   i   spojni   materijal  neophodan   za   ispravno izvođenje radova</t>
  </si>
  <si>
    <t xml:space="preserve">Transportni  troškovi      unutarnjeg   i   vanjskog   transporta materijala   i   alata   do   mjesta   ugradnje, te   istovara  i unutarnjeg transporta uvozne opreme. </t>
  </si>
  <si>
    <t>Punjenje cijevne instalacije</t>
  </si>
  <si>
    <t>Hladna tlačna proba cjelokupne toplovodne instalacije na ispitni tlak od 4,0 bara, u trajanju najmanje 48 sati.</t>
  </si>
  <si>
    <t>Električni radijator</t>
  </si>
  <si>
    <t xml:space="preserve">Proizvod je električni grijač prostorija s ovjesom na zidu za temperiranje i zagrijavanje manjih prostorija u zatvorenom prostoru (npr. kupaonici, kuhinji). Proizvod je opremljen zaštitom od prskanja vodom (vrsta zaštite IP24). Temperatura se podešava integriranim regulatorom temperature u prostoriji. Točna regulacija temperature vrši se putem podesivog termostata s funkcijom zaštite od smrzavanja pri temperaturi prostorije od 7 °C.
- Podesiva temperatura: 5 - 30 °C
Integrirani regulator temperature u prostoriji među ostalim raspolaže i individualno podesivim tjednim i vremenskim programima i ostalim funkcijama, kao npr. dojavnik otvaranja prozora.
Zagrijavanje zraka vrši se slobodnom konvekcijom bez ventilatora. Hladni zrak za zagrijavanje ulazi na donjoj strani proizvoda i zagrijava se radijatorom. Zagrijani zrak izlazi kroz rešetku za izlaz zraka.
Električni radijator ima sljedeće karakteristike:
</t>
  </si>
  <si>
    <t>Qg  =1,00kW</t>
  </si>
  <si>
    <t>Nel = 1,00 kW</t>
  </si>
  <si>
    <t>Dimenzije v/š/d = 450/426/100 mm</t>
  </si>
  <si>
    <t>220-240 V/1 ph + N/50 Hz</t>
  </si>
  <si>
    <t>Masa = 5,6 kg</t>
  </si>
  <si>
    <t>Podni vodeni ventilokonvektori</t>
  </si>
  <si>
    <t xml:space="preserve">Dobava podnog ventilokonvektora sa nagaznom rešetkom za grijanje i hlađenje prostorija. Odabir rešetke je od strane arhitekta.Kućište podnog ventilokonvektora izrađen je od crnog plastificiranog čeličnog lima. Izmjenjivač topline sastoji se od aluminijskih letvica na bakrenim cijevima. Ventilokonvektor je opremljen sa ventilatorom, izmjenjivačem topline, kadicom za kondezat, integriranim transformatorom 24V, balansirajučim ventilom te svim potrebnim elementima za zaštitu, kontrolu i regulaciju uređaja i temperature. Upravljanje je putem sobnog termostata koji je uključen u stavci. </t>
  </si>
  <si>
    <t>Qg=3091W, T=50/45°C
Qh=2128W, T=7/12°C
Nel=150W, U=24V,- integrirani trafo
Lp=27/42 dB(A), g=65kg
d/š/v=2700/340/170mm + 30mm kadica za odvod kondezata</t>
  </si>
  <si>
    <t>Qg=2109W, T=50/45°C
Qh=1452W, T=7/12°C
Nel=100W, U=24V,- integrirani trafo
Lp=25/39 dB(A), g=45kg
d/š/v=2100/340/170mm 
+ 30mm kadica za odvod kondezata</t>
  </si>
  <si>
    <t>Qg=2578W, T=50/45°C
Qh=1775W, T=7/12°C
Nel=150W, U=24V,- integrirani trafo
Lp=27/42 dB(A), g=40kg
d/š/v=2400/340/170mm  
+ 30mm kadica za odvod kondezata</t>
  </si>
  <si>
    <t>Qg=996W, T=50/45°C
Qh=686W, T=7/12°C
Nel=150W, U=24V,- integrirani trafo
Lp=22/34 dB(A), g=25kg
d/š/v=1200/340/170mm + 30mm kadica za odvod kondezata</t>
  </si>
  <si>
    <t>Toplovodni radijatori i niskotemperaurni radijatori</t>
  </si>
  <si>
    <t xml:space="preserve">Pločasti kompaktni  radijatori iz čeličnog  lima za radni tlak do 10 bara, površinski zaštićeni, isporučeni s tipskim ovjesnim priborom (radijatorskim odzračnim i ispusnm pipcem), te tvornički zatvorenim priključkom odnosno za klasičnu ugradnju ventila i prigušnica. </t>
  </si>
  <si>
    <t>profil tip K10 50 ( DUZINA x VISINA )</t>
  </si>
  <si>
    <t>450/1500/50</t>
  </si>
  <si>
    <t>450/1800/50</t>
  </si>
  <si>
    <t>Pločasti kompaktni niskotemperaturni  radijatori iz čeličnog  lima za radni tlak do 10 bara, površinski zaštićeni, isporučeni s tipskim ovjesnim priborom (radijatorskim odzračnim i ispusnm pipcem), te tvornički zatvorenim priključkom odnosno za klasičnu ugradnju ventila i prigušnica. Posebnost radijatora je u tome što su opremljeni ventilatorima koji podupiru prirodnu konvekciju u kombinaciji s inteligentnom regulacijom koja potpuno automatski, odnosno sukladno uvjetima rada ili željama korisnika prebacuje između statičnog i dinamičnog načina rada. Ventilatori se uključuju samo po potrebi, jer uređaj i u statičnom načinu rada raspolaže s dovoljno osnovne snage</t>
  </si>
  <si>
    <t>profil tip K22 106 ( DUZINA x VISINA )</t>
  </si>
  <si>
    <t>1400/600</t>
  </si>
  <si>
    <t>Termostatska glava s plinskim punjenjem, za regulaciju temperature prostora, zaštitom od smrzavanja i mogućnošću ograničavanja i fiksiranja postavne vrijednosti temperature,predviđene za ugradnju u javne prostore s zaštitom od kređe i naknadnog podešavanje za ventile</t>
  </si>
  <si>
    <t>Ugradbeni i prijenosni odvlaživači zraka</t>
  </si>
  <si>
    <t>Prijenosni odvlaživač zraka za odvlaživanje prostora. Odvlaživač se sastoji od izvana i iznutra obojenih panela od čeličnog lima,centrifugalnih ventilatora, integriranog upravljača, posudicom za odvlaživanje i rotacijskim kotačićima za osiguranje mobilnosti uređaja.</t>
  </si>
  <si>
    <t>Dimenzije LxBxH (mm):398/382/555</t>
  </si>
  <si>
    <t>Masa uređaja: 28,7 kg</t>
  </si>
  <si>
    <t>Nominalni protok zraka: 300 m3/h</t>
  </si>
  <si>
    <t>Kapacitet odvlaživanja: 28 l/24h</t>
  </si>
  <si>
    <t>Broj rashladnih krugova: 1</t>
  </si>
  <si>
    <t>Broj kompresora: 1</t>
  </si>
  <si>
    <t>Napajanje: 230/1/50 V/ph/Hz</t>
  </si>
  <si>
    <t>Električna snaga: 0,52 kW</t>
  </si>
  <si>
    <t>Zvučni tlak na 1 m od uređaja: 54 dB(A)</t>
  </si>
  <si>
    <t>Ugradbeni odvlaživač zraka za unutarnju parapetnu ugradnju za odvlaživanje prostora. Odvlaživač se sastoji od izvana i iznutra obojenih panela od čeličnog lima, centrifugalnih ventilatora, nadžbukne upravljačke jedinice,  isporučeni s tipskim ovjesnim priborom</t>
  </si>
  <si>
    <t>Lz=500m3/h, Δp=40Pa</t>
  </si>
  <si>
    <t>Nel=900W,U=230V</t>
  </si>
  <si>
    <t>Lp=47dB(A), odvlaživanje= 25,6l/24h</t>
  </si>
  <si>
    <t>D/Š/V=835/260/750mm, G=50kg</t>
  </si>
  <si>
    <t>Dizalica topline zrak - voda</t>
  </si>
  <si>
    <t xml:space="preserve">Dizalica topline zrak-voda za grijanje, hlađenje i pripremu potrošne tople vode. Jedinica je u monoblok izvedbi za vanjsku montažu, sa isparivačko-kondenzatorskom sekcijom i hidro-modulom.
Monoblok se sastoji od dvorotacijskog hermetičkog kompresora u inverterskoj izvedbi, isparivačko-kondenzatorskog bloka, cirkulacijske pumpe,magnetnog filtra vode, izmjenjivača topline freon-voda, elektrodogrijača, ekspanzijske posude od 6L, elemenata zaštite i regulacije te napajačko-upravljačkog dijela. Monoblok se upravlja regulatorom sa LCD zaslonom za podešavanje, određivanje režima rada, vremensko programiranje i upravljanje uređajem. Regulator je odvojen od jedinice te je predviđen za montažu na zid na udaljenosti 50 m od monobloka.
Regulacijski sklop podržava upravljanje prekretnim ventilom režima rada grijanje-hlađenje/PTV, upravljanje ventilom za odvajanje sustava grijanja i hlađenja, uključivanje elektrodogrijača, upravljanje u bivalentnom radu, upravljanje dodatnom cirkulacijskom pumpom, elektronsku regulaciju brzine rada cirkulacijske pumpe prema dT. </t>
  </si>
  <si>
    <t>Temperaturno područje rada:
- u režimu hlađenja od Tv = +10°C do +43°C st, Tpmin=+5°C do Tpmax=+20°C 
- u režimu grijanja od Tv = -20°C vt do +35°C vt.Tpmin=+20°C do Tpmax=+60°C</t>
  </si>
  <si>
    <t>Rashladni krug jedinice čine dvorotacijski hermetički inverterski kompresor, četveroputni ventil za prekretanje režima rada, elektronski ekspanzijski ventil, kolektor, filter i separator ulja. Jedinice su tvornički ispitane, vakumirane i prednapunjene rashladnim medijem R32.
Ugrađeni su presostati visokog i niskog tlaka, osjetnici temperature rashladnog medija, temperature ulja, temperature izmjenjivača i vanjske temperature.</t>
  </si>
  <si>
    <t>Jedinica uzima zrak sa stražnje i bočnih strana, a izbacuje horizontalno prema kroz zaštitnu rešetku na prednjoj strani. Jedinica je opremljena jednim ventilatorom.</t>
  </si>
  <si>
    <t>Mogućnost ugradnje dodatnog upravljačkog modula za dvozonsku regulaciju, te mogućnost upravljanja Wi-Fi modulom</t>
  </si>
  <si>
    <t>Toplinske karakteristike su dane kod nominalnih uvjeta:
Grijanje Tv=7°C st, Tv=6°C vt, Tp=35°C st
Hlađenje Tv=35°C st, Tp=27°C st, Tp=7°C/12°C</t>
  </si>
  <si>
    <t>Električno napajanje: 230V kod 50Hz</t>
  </si>
  <si>
    <t>Nominalni kapacitet grijanja (kod +7°C) : 9.00 kW</t>
  </si>
  <si>
    <t>COP kod kod +7°C i Tv 35°C: 4.48</t>
  </si>
  <si>
    <t>Kapacitet grijanja (kod -7°C) : 7.50 kW</t>
  </si>
  <si>
    <t>COP kod kod -7°C i Tv 35°C: 2.63</t>
  </si>
  <si>
    <t>Kapacitet grijanja (kod -15°C) : 5.0 kW</t>
  </si>
  <si>
    <t>COP kod kod -15°C i Tv 35°C: 2.22</t>
  </si>
  <si>
    <t>Kapacitet hlađenja (kod 35°C) : 9.00 kW</t>
  </si>
  <si>
    <t>EER kod 35°C i Tv 7°C: 2.71</t>
  </si>
  <si>
    <t>Sezonska energetska učinkovitost - grijanje pri umjerenoj klimi (W35°C/W55°C) : 4.90 / 3.32</t>
  </si>
  <si>
    <t>Energetski razred grijanja pri umjeretnoj klimi (W 35 °C / W 55 °C): A+++ / A++</t>
  </si>
  <si>
    <t>Sezonska energetska učinkovitost - grijanje pri toploj klimi (W 35 °C / W 55 °C ) : 5.75 / 4.07</t>
  </si>
  <si>
    <t>Energetski razred grijanja pri toploj klimi (W 35 °C / W 55 °C): A+++ / A+++</t>
  </si>
  <si>
    <t>Sezonska energetska učinkovitost - grijanje pri hladnoj klimi (W 35 °C / W 55 °C ) : 4.18 / 2.98</t>
  </si>
  <si>
    <t>Energetski razred grijanja pri hladnoj klimi (W 35 °C / W 55 °C): A++ / A+</t>
  </si>
  <si>
    <t xml:space="preserve">Faktor sezonske energetske učinkovitosti hlađenja (W 7°C): SEER: 4,44 / Ƞs,c: 174,6% </t>
  </si>
  <si>
    <t>Protok vode (dT=5k kod 35°C): 25.8 l/min</t>
  </si>
  <si>
    <t>Kapacitet elektrodogrijača: 3 kW</t>
  </si>
  <si>
    <t>Nominalna priključna snaga G/H: 2.010/3.320</t>
  </si>
  <si>
    <t>Radna struja G/H : 9.3/14.7 A</t>
  </si>
  <si>
    <t>Dimenzije VxDxŠ: 865x1283x320 mm</t>
  </si>
  <si>
    <t>Težina:104 kg</t>
  </si>
  <si>
    <t>Napajanje: 230 Vac, 50 Hz</t>
  </si>
  <si>
    <t>Nivo zvučnog tlaka G/H: 51/51 dB(A)</t>
  </si>
  <si>
    <t>Kaskadno upravljanje  dostupno je kao dodatak za dizalice  topline  da se omogući kontrola temeljena na zahtjevu do 10 uređaja.
U kaskadnom upravljanju, dizalice topline 1 nastavlja s upravljanjem do 2 kruga grijanja/hlađenja (zona), sustavom za proizvodnju potrošne tople vode, međuspremnikom i solarnim toplinskim sustavom. 
upravljač otkriva zahtjev za „Grijanjem”, „Hlađenjem” ili „Spremnikom” i
kontrolira dizalice topline  ovisno o dostupnosti i s ciljem optimizacije vremena rada. 
Dodatno je moguće omogućiti upravljaču prebacivanje između međuspremnika za grijanje i hlađenje, uključujući i izmjenjivanje upravljačkih ventila za smjer i senzora temperature.
Konačno, upravljač može se upotrebljavati za optimizaciju učinkovitosti solarne kružne pumpe u solarnom toplinskom sustavu.</t>
  </si>
  <si>
    <t>Dimenzije, napajanje, temperature, priključci:</t>
  </si>
  <si>
    <t>Dimenzije (Š x V x D) 232 x 330 x 118 mm (uklj. kabelske uvodnice na dnu kućišta)</t>
  </si>
  <si>
    <t>Napajanje Od 100 do 240 V izmjenične struje / 1 Ph / 50/60 Hz</t>
  </si>
  <si>
    <t>Zaštita električnim osiguračem treba vanjski strujni osigurač, maks. 2 A</t>
  </si>
  <si>
    <t>Ulazna snaga maks. 30 VA</t>
  </si>
  <si>
    <t>Sobna temperatura od 0 do 40 °C</t>
  </si>
  <si>
    <t>Temperatura skladištenja od -10 do +50 °C</t>
  </si>
  <si>
    <t>Okolna vlažnost maks. 90 % rel. vlažnosti</t>
  </si>
  <si>
    <t>Klasa primjenjivanja II (dvostruka zaštitna izolacija)</t>
  </si>
  <si>
    <t>IP kod IP65</t>
  </si>
  <si>
    <t>Spojevi opružni priključci do maks. 1 mm²</t>
  </si>
  <si>
    <t>Zaslon dodirni zaslon, 7,0" zaslon, pozadinsko osvjetljenje</t>
  </si>
  <si>
    <t>Uređaj sadrži bateriju s rokom trajanja više od 8 godina. Sve su postavke spremljene tijekom nestanka struje.</t>
  </si>
  <si>
    <t>Sučelja</t>
  </si>
  <si>
    <t>Glavni Modbus RTU: serijska RS485 komunikacija s maksimalno 10 Modbus pristupnika, montiranih u dizalice topline</t>
  </si>
  <si>
    <t>Modbus TCP podređeni: LAN utor ugrađen u kućište upravljača, aktivni DHCP ili upravljačku ploču za spoj BMS</t>
  </si>
  <si>
    <t>Modbus sučelje za  sustave zrak-voda.</t>
  </si>
  <si>
    <t>Sučelje  omogućuje potpunu i prirodnu integraciju sustava zrak-voda u mreže Modbus. Do 63 uređaja mogu biti povezani na istu mrežu.</t>
  </si>
  <si>
    <t>Ožičenje terminala (za niskonaponske signale): čvrste žice ili upletene žice (upletene ili s vijčanim spojem):</t>
  </si>
  <si>
    <t>1 jezgra: 0,5 mm2… 2,5 mm2</t>
  </si>
  <si>
    <t>2 jezgre: 0,5 mm2 ... 1,5 mm2</t>
  </si>
  <si>
    <t>3 jezgre: nije dopušteno</t>
  </si>
  <si>
    <t>1 x Serijski EIA485 Priključni vijčani priključni blok (2 pola): A, B</t>
  </si>
  <si>
    <t>Dimenzije: 93 x 53 x 58 mm</t>
  </si>
  <si>
    <t>Osjetnik vanjske temperature</t>
  </si>
  <si>
    <t>Protusmrzavajući ventili</t>
  </si>
  <si>
    <t>Međuspremnik ogrjevne vode</t>
  </si>
  <si>
    <t xml:space="preserve">Niskotlačni međuspremnik sa jednim izmenjivačem topline </t>
  </si>
  <si>
    <t>Zrcalno postavljeni priključci radi više opcija hidrauličkog povezivanja
Usmjerivač strujanja za optimalno temperaturno raslojavanje
Visokokvalitetna izolacija od poliuretanske pjene osigurava minimalne toplinske gubitke te sprječava pojavu kondenzata</t>
  </si>
  <si>
    <t>Zapremina lit.: 500</t>
  </si>
  <si>
    <t>Promjer spremnika mm: 750</t>
  </si>
  <si>
    <t>Visina spremnika mm: 1702</t>
  </si>
  <si>
    <t>Težina (napunjen) kg: 625</t>
  </si>
  <si>
    <t>Pogonski tlak bar: 1 do 8</t>
  </si>
  <si>
    <t>Punjenje cijevnog razvoda sustava grijanja i hlađenja. Radni medij je mješavina propilen glikola 20% i vode 80%. Predviđena količina radnog medija je cca 2500 l. Propilen glikol  se uljeva u cijevni razvod preko posebnog ventila DN 25 koji je uključen u ovu stavku.</t>
  </si>
  <si>
    <t>Fleksibilni spoj. Gumeno crijevo opleteno sa čeličnom žicom duljine l=600 mm u kplu sa ženskim navojima, 2 kolčaka i brtvama.
-Nazivni tlak: 10 bar
Tip kao: KOVINA ili odgovarajući
Proizvod kao: kao Kovina ili odgovarajući
Nazivni promjer DN 15/20/</t>
  </si>
  <si>
    <t>DN15</t>
  </si>
  <si>
    <t>DN20</t>
  </si>
  <si>
    <t>DN25</t>
  </si>
  <si>
    <t>DN32</t>
  </si>
  <si>
    <t>DN40</t>
  </si>
  <si>
    <t>DN50</t>
  </si>
  <si>
    <t>DN65</t>
  </si>
  <si>
    <t>Izolacija cjevovoda , opreme i armature slabo gorivom izolacijom s parnom branom, prema HRN DIN 4102 - dio 1/klasifikacija B1 (N.N. broj 69/97). Materijal izolacije mora imati parnu branu i slijedeće termodinamičke karakteristike: toplinska vodljivost kod 0oC: l (W/moC) £ 0,033, koef. otpora difuziji vodene pare: m ³ 10.000, koef. vodljivosti difuzije vodene pare: d (g/mhbar 10 -3) = 0,00013, upijanje vode difuzijom maksimalno 0,27% u odnosu na volumen i temperaturno područje primjene -50¸105oC. Stavka uključuje potrebnu količinu ljepila  te završne originalne trake  za spojeve. Izolirane cijevne linije montirane izvan objekta oblažu se Al-limom (debljine s = 0,8 mm), uz vodonepropusno brtvljenje spojeva silikonom. 
Debljina izolacije za cjevovod dimenzija do DN 20 iznosi 20 mm, za cjevovod od DN20 do DN50 debljina izolacije jednaka je nazivnom promjeru cijevi, dok za cjevovode od DN65 do DN100 debljina izolacije iznosi 60 mm, a za cjevovode od DN125 i iznad debljina izolacije iznosi 80 mm</t>
  </si>
  <si>
    <t>Obloga od AL lima za DN 65 cijev</t>
  </si>
  <si>
    <t xml:space="preserve">Jednostruka cirkulacijska crpka. Isporuka uključuje sve potrebne elemente za potpunu funkcionalnost crpke. </t>
  </si>
  <si>
    <t>Oznaka u grafičkom dijelu dokumentacije: C1</t>
  </si>
  <si>
    <t xml:space="preserve">Tehničke karakteristike: </t>
  </si>
  <si>
    <t>Protok: 7,23m3/h</t>
  </si>
  <si>
    <t>Visina dobave: 70 kPa</t>
  </si>
  <si>
    <t>Radni medij: glikol /voda</t>
  </si>
  <si>
    <t>Nel=375W/1/230V/50Hz</t>
  </si>
  <si>
    <t>Ekspanzijska posuda, 
V=200l;
∅xH=634/782mm
Priključak=DN25
Ispust=DN15</t>
  </si>
  <si>
    <t>Oznaka u grafičkom dijelu dokumentacije: EXP-1</t>
  </si>
  <si>
    <t xml:space="preserve">Dobava i ugradnja uređaja za  nadopunjavanje/punjenje u sustavima grijanja i hlađenja  prema VDI2035.  za veće sustave.                                                                                                     * sadržaj kisika (O2) ≤ 0,1 mg/l
* električna provodljivost ≤ 100 μS/cm
* vrijednost Ph  8,2-8,5  
* tvrdoća  vode +/- 3° dH
Uređaj ima automatsko nadopunjavanje, LED signalizaciju za električnu provodljivost, ugrađeni manometar, turbinski vodomjer i kuglasti ventil..   </t>
  </si>
  <si>
    <t>Priprema vode (demineralizacija vode) prema normi VDI2035/2 . mobilnim uređajem na objektu putem by-pass metode uporabom Vadion granulata. Pripremljena voda mora imati sliejdeće parametre :
 * sadržaj kisika (O2) ≤ 0,1 mg/l
 * električna provodljivost ≤ 100 μS/cm
 * vrijednost Ph  8,2-8,5 
 * tvrdoća  vode 0,11° dH</t>
  </si>
  <si>
    <t>Priprema 2500 lit vode u sustavu</t>
  </si>
  <si>
    <t>Kuglasta slavina navojnog priključka, u kompletu s vijčanom spojkom, nazivnog tlaka PN 16, dimenzije:</t>
  </si>
  <si>
    <t>Protupovratni ventili ili protupovratne klapne za toplu vodu, za ugradnju u horizontalni ili vertikalni cjevovod, s maksimalnim padom tlaka pri nominalnom protoku Dpmax. = 5 kPa, za nazivni tlak PN 16, u kompletu s prirubnicama, brtvama i vijcima potrebne duljine, slijedećih dimenzija:</t>
  </si>
  <si>
    <t>Hvatač nečistoće, nazivnog tlaka PN 16, u kompletu s protuprirubnicama, brtvama i vijcima, slijedećih dimenzija:</t>
  </si>
  <si>
    <t xml:space="preserve">Prolazno regulacijsko-balansirajući ventil neosjetljiv na utjecaj promjene dinamičkog tlaka sustava sa funkcijom podešenja protoka od 20-100%  max protoka, elektrotermičkim on/off pogonom 230V, NC u isporuku uključiti navojne spojnice.                                             </t>
  </si>
  <si>
    <t>Sigurnosni ventil za , nazivnog tlaka PN 16, baždaren na tlak ispuštanja p = 2,5 bar apsolutno, slijedećih dimenzija:</t>
  </si>
  <si>
    <t>Manometar ø 100 mm, radijalnog priključka, u kompletu s manometarskom slavinom DN 15 (R 1/2”) i kolčakom, mjernog područja 0 - 10 bar.</t>
  </si>
  <si>
    <t/>
  </si>
  <si>
    <t>manometar</t>
  </si>
  <si>
    <t>slavina</t>
  </si>
  <si>
    <t>Bimetalni termometar ø 100 mm, aksijalnog priključka, u kompletu sa zaštitnom čahurom za ugradnju u cjevovod, mjernog područja:</t>
  </si>
  <si>
    <t>0 - 120oC</t>
  </si>
  <si>
    <t xml:space="preserve">Razni tipski, pocinčani materijal za ovješenje i učvrščenje (držači cjevovoda, obujmice, zavješenja, pričvrsnice, podupore te ostala pomoćna učvršćenja za montažu, uz potrebne matice i vijke) sa umecima za zvučnu izolaciju, sve u potrebnoj količini i kvaliteti </t>
  </si>
  <si>
    <t xml:space="preserve">Puštanje u pogon dizalice topline sustava od strane ovlaštenog servisa proizvođača, uz izdavanje potrebnih uputa za korištenje, atesta i garancija. Probni rad instalacije (topla proba) dizalice topline od strane BlueBox ovlaštenih servisera na području RH te puštanje u redovan pogon do potpune funkcionalnosti postrojenja, uključivo mjerenje projektiranih parametara </t>
  </si>
  <si>
    <t>Korištenje usluge autodizalice za transport opreme sa kamiona na krov.  Vrsta i veličina auto dizalice je ovisna od tehnologije i načina transporta rashladnika te je na odabiru ponuđača.</t>
  </si>
  <si>
    <t>Potrebni elektro radovi na spajanju opreme od strane ovlaštenog servisera.</t>
  </si>
  <si>
    <t>Hlađenje dizalicama topline zrak - zrak</t>
  </si>
  <si>
    <t xml:space="preserve">Visoko učinkovita, zrakom hlađena miniVRF jedinica kao dizalica topline za grijanje ili hlađenje, koja se može povezati s  unutarnjim jedinicama . Može se rabiti samo kao pojedinačna vanjska jedinica. </t>
  </si>
  <si>
    <t>Temperaturno područje rada jedinica:
- u režimu hlađenja od Tv = -10°C st do +46°C st,
- u režimu grijanja od Tv = -20°C vt do +18°C vt.
Jedinice su predviđene za rad od 50% do 130% opterećenja.</t>
  </si>
  <si>
    <t>Vodootporno kućište od čeličnog lima s krutim okvirom otpornim na torziju. Visoko učinkovit izmjenjivač topline izrađen od bakarne cijevi s mehanički spojenim aluminijskim lamelama. Aluminijske lamele izmjenjivača topline površinski su zaštićene su od atmosferskih utjecaja 
Dva izravno pogonjena aksijalna ventilatora, statički i dinamički balansirana za iznimno tih rad s ugrađenom termalnom zaštitom motora. Elektroničko upravljanje brzinom ventilatora omogućuje rad do –10°C u načinu hlađenja. Kompresor s kontrolom frekvencije i opremom protiv vibracija za vrlo tih rad i uštedu energije. Ekspanzijski ventil koji upravlja odgovarajućom količinom rashladnog sredstva tijekom rada. Rashladni krug tvornički je napunjen odgovarajućim rashladnim sredstvom R410A za 50m cjevovoda.</t>
  </si>
  <si>
    <t>Krug hlađenja, optimiziran za rashladno sredstvo R410A, koji se sastoji od sljedećih glavnih komponenti: kompresor, elektronički ekspanzijski ventil, isparivač, kondenzator, prijemnik tekućine, filtar, separator ulja, četverosmjerni ventil i odgovarajuća upravljačka i sigurnosna oprema, usisni i zaustavni ventili, servisni priključci i Schrader ventili. Krug rashladnog sredstva bit će odvlažen i odzračen te napunjen inicijalnom količinom rashladnog sredstva.</t>
  </si>
  <si>
    <t>Osim optimiziranog nadzora punog i djelomičnog opterećenja tijekom hlađenja i grijanja, mikroprocesor obavlja i sljedeće funkcije:
- Automatska detekcija i adresiranje unutarnjih jedinica tijekom inicijalnog pokretanja sustava
- Samodijagnostika svih povezanih unutarnjih i vanjskih jedinica
- Nadzor pothlađenja
- Nadzor razine rashladnog sredstva u prijemniku tekućine
- Invertersko upravljanje kompresorom ovisno o potrebama uz generiranjem optimiziranog, izglađenog sinusoidnog kontrolnog signala
- Nadzor elektroničkog ekspanzijskog ventila
- Nadzor ventilatora za optimalan obrazac tlaka unutar izmjenjivača topline
- Moguće je odabrati automatsko prebacivanje između grijanja i hlađenja
- Podesiva postavka tlaka sustava (33 – 38 bara) za upotrebu uz VRF komplete za obnovu, tj. za konverziju s rashladnog sredstva R22 na R410A
- Servisnu funkciju moguće je odabrati standardnim daljinskim upravljačem 
- Sigurnosne funkcije za zaštitu VRF sustava</t>
  </si>
  <si>
    <t>Opcija tihog noćnog rada s reduciranjem kapaciteta za smanjenje zvučnog tlaka za -1.5 dB(A) u prvom stupnju i -3 dB(A) u drugom stupnju, -5 dB(A) u trećem stupnju te -7 dB(A) u četvrtom stupnju.
Ventilatorski dio jedinice sa eksternim statičkim tlakom 35 Pa što omogućava instalaciju unutar poluotvorenog prostora.</t>
  </si>
  <si>
    <t>Električno napajanje: 380 V kod 50Hz</t>
  </si>
  <si>
    <t>Toplinske karakteristike su dane kod nominalnih uvjeta:
Hlađenje Tv=35°C st, Tv=24°C vt, Tp=27°C st, Tp=19°C vt
Grijanje Tv=7°C st, Tv=6°C vt, Tp=20°C st</t>
  </si>
  <si>
    <t>Maksimalno dozvoljena ukupna duljina cijevnog razvoda: 180 m</t>
  </si>
  <si>
    <t>Dozvoljena visinska razlika između vanjskih i unutarnjih jedinica: +50 m/-40 m</t>
  </si>
  <si>
    <t>Dozvoljena visinska razlika između unutarnjih jedinica: 15 m</t>
  </si>
  <si>
    <t>Jedinica omogućuje spajanje do 15 unutarnjih jedinica.</t>
  </si>
  <si>
    <t>Kapacitet hlađenja: 28,0 kW</t>
  </si>
  <si>
    <t>Kapacitet grijanja: 28,0 kW</t>
  </si>
  <si>
    <t>Priključna snaga kod hlađenja: 9,00 kW</t>
  </si>
  <si>
    <t>EER kod nominalnih uvjeta (100% opterećenja): 3,11</t>
  </si>
  <si>
    <t>Priključna snaga kod grijanja: 7,13 kW</t>
  </si>
  <si>
    <t>COP kod nominalnih uvjeta (100% opterećenja): 3,93</t>
  </si>
  <si>
    <t xml:space="preserve">Cijevni priključci:  </t>
  </si>
  <si>
    <t>Plinski vod: 22,22 mm</t>
  </si>
  <si>
    <t>Tekućinski vod: 9,52 mm</t>
  </si>
  <si>
    <t>Razina zvučnog tlaka:</t>
  </si>
  <si>
    <t>Normalni način rada G/H: 65/63 dB(A)</t>
  </si>
  <si>
    <t>Tihi način rada H 1/2/3: 60/58/56 dB(A)</t>
  </si>
  <si>
    <t>Dimenzije VxŠxD: 1500x980x370 mm</t>
  </si>
  <si>
    <t>Neto težina: 133 kg</t>
  </si>
  <si>
    <t>Napajanje: 380V, 50 Hz</t>
  </si>
  <si>
    <t>AHU komplet omogućuje povezivanje dodatnih izmjenjivača topline u jedinicama za obradu zraka pomoću dvocijevnih i trocijevnih sustava . Koristi rashladno sredstvo R410A.</t>
  </si>
  <si>
    <t>Isporučeno spremno za povezivanje i u kompletu s plastičnim prozirnim kućištem, uključujući metalnu montažnu ploču za instalaciju u unutrašnjosti, zglobna vratašca za servisiranje, pribor za sastavljanje, zidni nosač i ekspanzijski ventil za instalaciju na lokaciji. Četiri temperaturna senzora za instalaciju na izmjenjivaču i u vodovima zraka, u kompletu s priborom za postavljanje.
Isporučeno u kompletu s ugrađenim kontrolerom , uz mogućnost povezivanja na DDC regulator klima komore, te upravljanja nazivnim opterećenjem od 40% do 120% (u koracima po 5%) pomoću signala 0-10 V.</t>
  </si>
  <si>
    <t>AHU komplet sadrži temperaturni PID regulator s mogučnošću kontrole temperatura ispuha radi zaštite od preniske temperature ispuhivanja.</t>
  </si>
  <si>
    <t>Upravljački raspon u načinu hlađenja:  14,0 do 34,0 kW
Upravljački raspon u načinu grijanja:  16,0 do 31,5 kW
Napajanje:  230/1/50 V/ph/Hz
Potrošnja struje: 0,1 A
Klasa zaštite: IP 65
Dimenzije V/Š/D 404 / 425 / 78 mm
Masa 6,3 kg
Temperaturni raspon u načinu hlađenja1) 18 do 32 °C
Temperaturni raspon u načinu grijanja1) 16 do 30 °C
1) Ulazna temperatura zraka na ulazu izmjenjivača topline</t>
  </si>
  <si>
    <t xml:space="preserve">Protok zraka hlađenje: 4998 - 3498 m3/h  </t>
  </si>
  <si>
    <t>Priključak cijevi: Tekuća faza 9,52 mm, Plinovita faza 22,22 mm</t>
  </si>
  <si>
    <t xml:space="preserve">Ventil za sprečavanje akumulacije rashladnog sredstva (R.A.P.)
za primjenu kod AHU DX kompleta, kanalskih jedinica i 
DX zračne zavjese.
Ventil se priključuje na upravljačku elektroniku unutarnje jedinice.
Priljučci na tijelu ventila:
Plinski vod 19.05 mm ili 22.22 mm
Tekućinski vod 9.52 mm
</t>
  </si>
  <si>
    <t>Unutarnje jedinice</t>
  </si>
  <si>
    <t>VRF kazetna jedinica,  60x60 za grijanje i hlađenje sa četverostranim ispuhom, za ugradnju u spušteni strop u kompletu sa donjom ukrasnom maskom . Dostupna u 6 kapaciteta od 1,5 kW do 5,6 kW.</t>
  </si>
  <si>
    <t>Savršena distribucija zraka osigurana je individualnom kontrolom svih 4 lopatice upravljane vlastitim motorom, jedan za svaku lopaticu.</t>
  </si>
  <si>
    <t>DC odvodna pumpa i plovak poboljšani su kako bi  imao manju razinu buke i veću efikasnost od prethodnih jedinica.</t>
  </si>
  <si>
    <t>Jedinica je opremlljena pumpom kondenzata (dobava 850 mm),
centrifugalnim ventilatorom, izmjenjivačem topline s direktnom ekspanzijom, ekspanzijskim ventilom, potrebnim elementima za zaštitu, kontrolu i regulaciju uređaja i temperature, otvorom za svježi zrak, perivim filterom za zaštitu od bakterija i
plijesni i DC motorom ventilatora s promjenjivom brzinom.</t>
  </si>
  <si>
    <t>- Kapacitet hlađenja 2.8 kW kod nominalnih uvjeta</t>
  </si>
  <si>
    <t>- Kapacitet grijanja 3.2 kW kod nominalnih uvjeta</t>
  </si>
  <si>
    <t>- Ulazna snaga (hlađenje/grijanje): 21/19 W</t>
  </si>
  <si>
    <t>- Protok zraka hlađenje (Hi-Med-Lo): 9.0 - 7.5 - 6.0 m3/min</t>
  </si>
  <si>
    <t>- Protok zraka grijanje (Hi-Med-Lo): 9.0 - 7.5 - 6.0 m3/min</t>
  </si>
  <si>
    <t>- Nivo buke (Hi - Med - Lo):  34-30-28 dB(A)</t>
  </si>
  <si>
    <t>- Dimenzije VxŠxD 243 x 575 x 575 mm</t>
  </si>
  <si>
    <t>- Neto težina 17.8 (15 + 2.8) kg</t>
  </si>
  <si>
    <t>- Ukrasna maska proizvod kao Panasonic CZ-KPY4</t>
  </si>
  <si>
    <t>- Dimenzije maske: 30x625x625 mm / 2.8 kg</t>
  </si>
  <si>
    <t>- Priključak cijevi: Tekuća faza 6.35 mm, Plinovita faza 12.7 mm</t>
  </si>
  <si>
    <t>- Priključak kondenzata (vanj. promjer): 32 mm</t>
  </si>
  <si>
    <t>- Napajanje 220 V</t>
  </si>
  <si>
    <t>- Kapacitet hlađenja 3.6 kW kod nominalnih uvjeta</t>
  </si>
  <si>
    <t>- Kapacitet grijanja 4.2 kW kod nominalnih uvjeta</t>
  </si>
  <si>
    <t>- Ulazna snaga (hlađenje/grijanje): 22/20 W</t>
  </si>
  <si>
    <t>- Protok zraka hlađenje (Hi-Med-Lo): 9.5 - 7.8 - 6.0 m3/min</t>
  </si>
  <si>
    <t>- Protok zraka grijanje (Hi-Med-Lo): 9.5 - 7.8 - 6.0 m3/min</t>
  </si>
  <si>
    <t>- Nivo buke (Hi - Med - Lo):  35-31-28 dB(A)</t>
  </si>
  <si>
    <t xml:space="preserve">Jednosmjerna unutarnja jedinica kasetnog  za hlađenje i grijanje, rashladno sredstvo R410A, za kombiniranje uz vanjske jedinice </t>
  </si>
  <si>
    <t>Lagana, kompaktna i vrlo plitka jedinica od galvaniziranog čeličnog lima, obložena materijalom koji pruža zvučnu i toplinsku izolaciju. Podudarna plastična stropna ploča bijele boje (RAL 9010 GL) koja se može prati i prodaje se zasebno.</t>
  </si>
  <si>
    <t xml:space="preserve">Iznimno tih centrifugalni trofazni ventilator s izravnim pogonom, elektroničkim upravljanjem i DC inverterom te termalnim prekidačem motora. Smjerom protoka zraka može se upravljati motornim žaluzinama ili putem probojnog otvora unutar stropne šupljine. Brzina protoka zraka može se podešavati ručno ili automatski, ovisno o unutarnjoj temperaturi. Usis zraka kroz stropnu ploču s perivim dugotrajnim filtrom. Probojni otvor (Ø 100 mm) za dotok svježeg zraka omogućuje udio svježeg zraka između 10 i 15 %. </t>
  </si>
  <si>
    <t>Ekspanzijski ventil upravljan mikroprocesorom, optimiziran za rashladno sredstvo R410A za precizno upravljanje kapacitetom rashladnog sredstva ovisno o potrebama. Izmjenjivač topline izrađen od bakrene cijevi s mehanički spojenim aluminijskom lamelama, sustavom za odvod kondenzata s ugrađenom pumpom za odvod kondenzata (maksimalna visina dobave 500 mm od ispusnog otvora) i sigurnosnim prekidačem. Prikladno za standardne i visoke stropove.</t>
  </si>
  <si>
    <t>Jedinica se isporučuje s panelom</t>
  </si>
  <si>
    <t>Toplinske karakteristike su dane kod nominalnih uvjeta:
Hlađenje Tv=35C st, Tv=24C vt, Tp=27C st, Tp=19C vt
Grijanje Tv=7C st, Tv=6C vt, Tp=20C st</t>
  </si>
  <si>
    <t>- Ulazna snaga (hlađenje/grijanje): 51/40 W</t>
  </si>
  <si>
    <t xml:space="preserve">- Protok zraka: 720-600-540 m3/h </t>
  </si>
  <si>
    <t>- Nivo buke 33-34-36 dB(A)</t>
  </si>
  <si>
    <t>- Dimenzije VxŠxD 200+(20) x 1000 (1230) x 710 (800)</t>
  </si>
  <si>
    <t>- Neto težina 26.5 (21+5.5) kg</t>
  </si>
  <si>
    <t xml:space="preserve">Dvosmjerna unutarnja jedinica kasetnog VRF za hlađenje i grijanje, rashladno sredstvo R410A, za kombiniranje uz vanjske jedinice </t>
  </si>
  <si>
    <t>Lagana i kompaktna jedinica od galvaniziranog čeličnog lima, obložena materijalom koji pruža zvučnu i toplinsku izolaciju. Podudarna plastična stropna ploča bijele boje (RAL 9010 GL) koja se može prati i prodaje se zasebno.
Iznimno tih centrifugalni ventilator s izravnim pogonom i termalnim prekidačem motora. Otvori za ispuh zraka u oba smjera. Smjerom protoka zraka upravlja se motornim žaluzinama za usmjeravanje protoka. Brzina protoka zraka može se podešavati ručno ili automatski, ovisno o unutarnjoj temperaturi i načinu rada. Brzina i smjer automatski se podešavaju ovisno o načinu rada jedinice. Usis zraka kroz stropnu ploču s preklopnom rešetkom ulaznog otvora i perivim dugotrajnim filtrom. Otvor (Ø 125 mm) za dovod svježeg zraka i priključak ogranka (2 x Ø 150 mm).
Ekspanzijski ventil upravljan mikroprocesorom, optimiziran za rashladno sredstvo R410A za precizno upravljanje kapacitetom rashladnog sredstva ovisno o potrebama. Izmjenjivač topline izrađen od bakrene cijevi s mehanički spojenim aluminijskom lamelama, sustavom za odvod kondenzata s ugrađenom pumpom za odvod kondenzata (maksimalna visina dobave 500 mm od ispusnog otvora) i sigurnosnim prekidačem.</t>
  </si>
  <si>
    <t>Jedinica se isporučuje s panelom tip</t>
  </si>
  <si>
    <t>- Ulazna snaga (hlađenje/grijanje): 92/60 W</t>
  </si>
  <si>
    <t xml:space="preserve">- Protok zraka: 540-480-420 m3/h </t>
  </si>
  <si>
    <t>- Nivo buke 26-29-33 dB(A)</t>
  </si>
  <si>
    <t>- Dimenzije VxŠxD 350+(8) x 840 (1060) x 600 (680)</t>
  </si>
  <si>
    <t>- Neto težina 28.5 (23+5.5) kg</t>
  </si>
  <si>
    <t>Unutarnja jedinica kanalskog tipa  s varijabilnim statičkim tlakom za hlađenje i grijanje, rashladno sredstvo R410A, za kombiniranje uz vanjske jedinice. Jedinica se može ugraditi horizontalno i vertikalno, a usis zraka može biti s donje i stražnje strane.</t>
  </si>
  <si>
    <t>Lagana, kompaktna i vrlo plitka jedinica od galvaniziranog čeličnog lima, obložena materijalom koji pruža zvučnu i toplinsku izolaciju.
Iznimno tih centrifugalni ventilator s izravnim pogonom i termalnim prekidačem motora.  Vanjski statički tlak može se prilagoditi uvjetima i potrebama. Količina ispusnog zraka može se automatski podesiti na nazivni protok pomoću pogona za upravljanje protokom zraka. Brzina protoka zraka može se podešavati ručno ili automatski, ovisno o unutarnjoj temperaturi. Usis zraka putem priključka na usisnoj strani- stražnja ili donja.
Ekspanzijski ventil upravljan mikroprocesorom, optimiziran za rashladno sredstvo R32 za precizno upravljanje hlađenjem i grijanjem ovisno o potrebama. Izmjenjivač topline izrađen od bakrene cijevi s mehanički spojenim aluminijskom lameama, sustavom drenaže s ugrađenom drenažnom pumpom (glava pumpe od 500 mm iz ispusnog otvora) i sigurnosni prekidač. Tavica za odvod kondenzata prilagođena za oba načina ugradnje (horizontalno/vertikalno)</t>
  </si>
  <si>
    <t>Jedinica ima funkciju ondosno  opremljena je dodatnim, četvrtim osjetnikom temperature na strani ispuha u svrhu regulacije temperature ubacivanja zraka. Time se postiže kontrola temperature ispuha radi sprečavanja kondenzacije na istrujnim rešetkama.</t>
  </si>
  <si>
    <t>Nominalni učinak hlađenja*: 4,5 kW</t>
  </si>
  <si>
    <t>Nominalni učinak grijanja**: 5,0 kW</t>
  </si>
  <si>
    <t>Protok zraka: 14/12/8 m³/min</t>
  </si>
  <si>
    <t>Vanjski statički tlak: 30 (10 - 150) Pa</t>
  </si>
  <si>
    <t>Ulazna snaga (hlađenje/grijanje): 60/60 W</t>
  </si>
  <si>
    <t>Napon: 220 V / 50 Hz</t>
  </si>
  <si>
    <t>Nivo zvučnog tlaka***: 31/28/20</t>
  </si>
  <si>
    <t>Rashladno sredstvo: R410A</t>
  </si>
  <si>
    <t>Cijevni priključci (plinska/tekuća faza): 12,7/6,35 mm</t>
  </si>
  <si>
    <t>Odvodni priključak (vanj. promjer): 32 mm</t>
  </si>
  <si>
    <t>NanoeX generator: Mark 3</t>
  </si>
  <si>
    <t>* (Nominalni uvjeti za hlađenje: unutarnja temperatura 27/19 °C (DB/WB), vanjska temperatura 35/24 °C (DB/WB))
** (Nominalni uvjeti za grijanje: unutarnja temperatura 20 °C (DB), vanjska temperatura 7/6 °C (DB/WB))
*** (niska/srednja/visoka, 1,5 m ispod jedinice</t>
  </si>
  <si>
    <t>Dimenzije jedinice: 250x800x730 mm / 26 kg</t>
  </si>
  <si>
    <t>Nominalni učinak hlađenja*: 2,8 kW</t>
  </si>
  <si>
    <t>Nominalni učinak grijanja**: 3,2 kW</t>
  </si>
  <si>
    <t>Unutarnja podna samostojeća jedinica prikrivenog tipa  za hlađenje i grijanje, rashladno sredstvo R410A, za kombiniranje uz vanjske jedinice .</t>
  </si>
  <si>
    <t>Jedinica od galvaniziranog čeličnog lima, obložena materijalom koji pruža zvučnu i toplinsku izolaciju. Bez kućišta kako bi se jedinica mogla potpuno uklopiti u dizajn prostorije. Idealno za postavljanje u prozorskim šupljinama. Cijevi se mogu priključiti s bilo koje bočne strane jedinice te odozdo ili odozgo.</t>
  </si>
  <si>
    <t>Iznimno tih centrifugalni ventilator s izravnim pogonom i termalnim prekidačem motora. Otvor za ispuh zraka s gornje strane koji ispuhuje prema naprijed, prikladno za kanalno priključivanje. Ulaz zraka na donjoj strani putem perivog dugotrajnog filtra zraka. Brzina protoka zraka može se podešavati ručno ili automatski, ovisno o unutarnjoj temperaturi.</t>
  </si>
  <si>
    <t xml:space="preserve">Ekspanzijski ventil upravljan mikroprocesorom, optimiziran za rashladno sredstvo R410A za precizno upravljanje kapacitetom rashladnog sredstva ovisno o potrebama. Izmjenjivač topline izrađen od bakarne cijevi s mehanički spojenim aluminijskim lopaticama. </t>
  </si>
  <si>
    <t>Proizvod Panasonic S-28MR1E5</t>
  </si>
  <si>
    <t>Protok zraka (maks.): 420 m³/h</t>
  </si>
  <si>
    <t>Ulazna snaga (hlađenje/grijanje): 56/40 W</t>
  </si>
  <si>
    <t>Napon: 230 V / 50 Hz</t>
  </si>
  <si>
    <t>Nivo zvučnog tlaka***: 28/30/33</t>
  </si>
  <si>
    <t>Odvodni priključak (vanj. promjer): 26 mm</t>
  </si>
  <si>
    <t>Dimenzije jedinice VxŠxD: 616x904x229 mm / 21 kg</t>
  </si>
  <si>
    <t>Nominalni učinak hlađenja*: 3,6 kW</t>
  </si>
  <si>
    <t>Nominalni učinak grijanja**: 4,2 kW</t>
  </si>
  <si>
    <t>Protok zraka (maks.): 540 m³/h</t>
  </si>
  <si>
    <t>Ulazna snaga (hlađenje/grijanje): 85/70 W</t>
  </si>
  <si>
    <t>Nivo zvučnog tlaka***: 29/35/39</t>
  </si>
  <si>
    <t>Protok zraka (maks.): 720 m³/h</t>
  </si>
  <si>
    <t>Ulazna snaga (hlađenje/grijanje): 126/91 W</t>
  </si>
  <si>
    <t>Nivo zvučnog tlaka***: 31/35/38</t>
  </si>
  <si>
    <t>Dimenzije jedinice VxŠxD: 616x1219x229 mm / 28 kg</t>
  </si>
  <si>
    <t>Proizvod Panasonic S-22MR1E5</t>
  </si>
  <si>
    <t>Nominalni učinak hlađenja*: 2,2 kW</t>
  </si>
  <si>
    <t>Nominalni učinak grijanja**: 2,5 kW</t>
  </si>
  <si>
    <t>Regulacija i upravljanje</t>
  </si>
  <si>
    <t xml:space="preserve">Žičani daljinski upravljač s  tipkama osjetljivim na dodir zaslonom za upravljanje unutarnjom jedinicom. Može se koristiti u kombinaciji s podupravljačem (naizmjenično upravljanje) ili za upravljanje skupinom do 8 unutarnjih jedinica . </t>
  </si>
  <si>
    <t>Funkcije:</t>
  </si>
  <si>
    <t>¤ uključivanje/isključivanje</t>
  </si>
  <si>
    <t xml:space="preserve">¤ promjena načina rada (hlađenje, grijanje) </t>
  </si>
  <si>
    <t>¤ podešavanje temperature</t>
  </si>
  <si>
    <t>¤ sat s prikazom stvarnog vremena (24 sata), tajmerom i indikacijom dana u tjednu</t>
  </si>
  <si>
    <t>¤ sustav praćenja parametara</t>
  </si>
  <si>
    <t>¤ dijagnostička funkcija</t>
  </si>
  <si>
    <t xml:space="preserve"> prikaz posljednja 4 alarma</t>
  </si>
  <si>
    <t>¤ pozadinsko svjetlo</t>
  </si>
  <si>
    <t>Središnji sustav za upravljanje i praćenje koji se priključuje
na sabirnicu P-Link radi upravljanja s do 256 unutarnjih jedinica  (4 sustava sa 64 unutarnje jedinice) te do 120 vanjskih jedinica (4 sustava s 30 vanjskih jedinica).</t>
  </si>
  <si>
    <t>TFT dodirni zaslon od 6,5 inča (16,5 cm) u LCD izvedbi
razlučivosti 640 x 480 piksela (VGA), zajedno s montažnim okvirom i olovkom za unos podataka.</t>
  </si>
  <si>
    <t>Upravljačke funkcije:</t>
  </si>
  <si>
    <t xml:space="preserve">Ø  rad, regulacija i praćenje do 128 unutarnjih jedinica </t>
  </si>
  <si>
    <t xml:space="preserve">Ø  mogućnost proširenja do maksimalno 256 unutarnjih jedinica pomoću komunikacijskog adaptera </t>
  </si>
  <si>
    <t>Ø  uključivanje/isključivanje</t>
  </si>
  <si>
    <t>Ø  promjena načina rada (hlađenje, grijanje, suhi način</t>
  </si>
  <si>
    <t xml:space="preserve"> rada, automatski rad, ventilator)</t>
  </si>
  <si>
    <t>Ø  podešavanje brzine ventilatora (niska/srednja/visoka, 
automatska)</t>
  </si>
  <si>
    <t>Ø  podešavanje temperature (način hlađenja/suhi način rada: od 18 do 30 °C, grijanje: od 16 do 30 °C)</t>
  </si>
  <si>
    <t>Ø  podešavanje usmjeravanja protoka zraka</t>
  </si>
  <si>
    <t>Ø  ventilacija</t>
  </si>
  <si>
    <t>Ø  praćenje rada</t>
  </si>
  <si>
    <t>Ø  praćenje alarma</t>
  </si>
  <si>
    <t>Ø  vođenje dnevnika alarma</t>
  </si>
  <si>
    <t>Ø  daljinska signalizacija rada</t>
  </si>
  <si>
    <t>Ø  daljinski alarm</t>
  </si>
  <si>
    <t>Ø  integrirano web-sučelje za pristup na temelju LAN</t>
  </si>
  <si>
    <t>ili internetske veze i rad putem web-preglednika na računalu</t>
  </si>
  <si>
    <t>Ø  automatizirane obavijesti o alarmima putem e-pošte i vođenja dnevnika poslanih e-poruka</t>
  </si>
  <si>
    <t>Ø  50 programiranih radnji dnevno može se postaviti u okviru 50 dnevnih i 50 tjednih rasporeda, uključujući i planove tijekom odmora i posebnih dana</t>
  </si>
  <si>
    <t>Ø  zabrana lokalnog rada putem daljinskog upravljača s</t>
  </si>
  <si>
    <t>pojedinačno programibilnim razinama</t>
  </si>
  <si>
    <t>Ø  snimanje i prikaz ukupnog vremena rada i ukupnog broja radnih sekvenci za svaku unutarnju jedinicu</t>
  </si>
  <si>
    <t>Ø  izračun distribucije opterećenja za svaku pojedinačnu jedinicuili korisnika na temelju proporcionalnog udjela u potrošnji plina i električne energije. Jednostavan ili detaljan izračun u kombinaciji s brojilima potrošnje plina i električne energije. Izračun na temelju cijena ovisnih o dobu dana.</t>
  </si>
  <si>
    <t>Ø  svi radni zasloni mogu se ispisivati pomoću opcijskog
 kompatibilnog pisača koji se nabavlja zasebno</t>
  </si>
  <si>
    <t>Povezivost:</t>
  </si>
  <si>
    <t>Ø  uključivanje putem ulaza 24 V istosmjerne struje</t>
  </si>
  <si>
    <t>Ø  isključivanje putem beznaponskog ulaza 24 V istosmjerne struje</t>
  </si>
  <si>
    <t>Ø  signalizacija putem beznaponskog izlaza</t>
  </si>
  <si>
    <t>Ø  dojava alarma putem beznaponskog izlaza</t>
  </si>
  <si>
    <t>Ø  priključak za brojila za potrošnju plina i električne energije</t>
  </si>
  <si>
    <t>Ø  priključak nakomunikacijski adapter (za proširenje normalna 2 sustava na maksimalni broj od 4 sustava)</t>
  </si>
  <si>
    <t>Ø  USB priključak za poseban pisač koji se nabavlja zasebno</t>
  </si>
  <si>
    <t>Ø  LAN priključak za lokalnu mrežu ili računalo</t>
  </si>
  <si>
    <t>Specifikacije:</t>
  </si>
  <si>
    <t>Ø  Maks. broj priključivih unutarnjih jedinica: 128</t>
  </si>
  <si>
    <t>Ø  Mogućnost proširenja pomoću komunikacijskog adaptera  do 256 jedinica</t>
  </si>
  <si>
    <t>Ø  Broj programibilnih operacija u danu: 50</t>
  </si>
  <si>
    <t>Ø  Broj programibilnih dnevnih rasporeda: 50</t>
  </si>
  <si>
    <t>Ø  Broj programibilnih tjednih rasporeda: 50</t>
  </si>
  <si>
    <t>Ø  Programski ciklus: 1 tjedno</t>
  </si>
  <si>
    <t>Ø  Raspon temperatura: od 5 do 40°C</t>
  </si>
  <si>
    <t>Ø  Raspon vlažnosti: od 20 do 80%</t>
  </si>
  <si>
    <t>Ø  TFT LCD zaslon: od 6,5 inča (16,5 cm) s pozadinskom rasvjetom</t>
  </si>
  <si>
    <t>Ø  Razlučivost: 650 x 480 piksela</t>
  </si>
  <si>
    <t>Ø  Ulazni napon (jednofazni): od 100 do 240 V izmjenične struje</t>
  </si>
  <si>
    <t>Ø  Frekvencija napajanja: 50/60Hz</t>
  </si>
  <si>
    <t>Ø  Maks. ulazna snaga: 30W</t>
  </si>
  <si>
    <t>Ø  Visina/Širina/Dubina: 240/280/138 mm</t>
  </si>
  <si>
    <t>Ø  Težina: 3400 g</t>
  </si>
  <si>
    <t>Izolirani bakreni spojni elementi za razvod medija R-410A za plinsku i tekuću fazu, uključivo redukcije (2 komada po kompletu: plinska + tekuća faza):</t>
  </si>
  <si>
    <t>Y-Račve za dvocijevni sustav</t>
  </si>
  <si>
    <t>Set dvocijevnih račvi za unutarnje jedinice od 22.4 kW do 68.0 kW</t>
  </si>
  <si>
    <t>Set dvocijevnih račvi za unutarnje jedinice do 22.4 kW</t>
  </si>
  <si>
    <t>Predizolirane bakrene cijevi u kolutu za freonsku instalaciju plinske i tekuće faze namjenjene za rashladni medij R-410A . U kompletu sa spojnicama i koljenima, spojnim i pričvrsnim materijalom. Cijevi moraju biti odmašćene, očišćene i osušene prije ugradnje.</t>
  </si>
  <si>
    <t xml:space="preserve"> Φ 6,4 mm</t>
  </si>
  <si>
    <t xml:space="preserve"> Φ 9,5 mm</t>
  </si>
  <si>
    <t xml:space="preserve"> Φ 12,7 mm</t>
  </si>
  <si>
    <t xml:space="preserve"> Φ 15,9 mm</t>
  </si>
  <si>
    <t xml:space="preserve"> Φ 19,1 mm</t>
  </si>
  <si>
    <t>Bakrene cijevi u šipci za freonsku instalaciju plinske i tekuće faze namjenjene za rashladni medij R-410A . U kompletu sa spojnicama i koljenima, spojnim i pričvrsnim materijalom. Cijevi moraju biti odmašćene, očišćene i osušene prije ugradnje.</t>
  </si>
  <si>
    <t xml:space="preserve"> Φ 22,2 mm</t>
  </si>
  <si>
    <t xml:space="preserve">Toplinska izolacija za neizolirane cijevi u šipci </t>
  </si>
  <si>
    <t>Toplinska izolacija cijevi rashladnog medija s parnom branom. Izolacija mora biti negoriva. U kompletu sa ljepilom, ljepljivom trakom i ostalim potrebnim materijalom. Debljina izolacije je 13 mm. Izolacija za koljena i fazonske komade se izraduje prilikom montaže.</t>
  </si>
  <si>
    <t>Dopuna radne tvari</t>
  </si>
  <si>
    <t>Radni medij R410A</t>
  </si>
  <si>
    <t>Kontrolni kabel</t>
  </si>
  <si>
    <t>Puštanje u pogon VRF sustava</t>
  </si>
  <si>
    <t>Puštanje u pogon VRF sustava uključivo provjeru nepropusnosti freonske instalacije, vakumiranje i dopunjavanje rashladnog sredstva od strane ovlaštenog servisa uz izdavanje potrebnih uputa za korištenje, atesta i garancija. Puštanje u pogon ne sadrži spajanje cijevi i struje kao niti radnu tvar.</t>
  </si>
  <si>
    <t>Programiranje i puštanje u pogon centralnog upravljačkog sustava i mikroprocesorskog regulatora od strane ovlaštenog servisa:</t>
  </si>
  <si>
    <t>Dobava i montaža PP-R cijevi za odvod konenzata. Cijevi su toplinski izolirane sa Armaflexom 13mm što je uključenu u cijenu cijevi, sljedećih
dimenzija:</t>
  </si>
  <si>
    <t>kpl.</t>
  </si>
  <si>
    <t>Profesionalno kučište za redukciju buke dizalica topline</t>
  </si>
  <si>
    <t>Samostojeće stabilno potpuno rasklopivo akustično kućište posebno dizajnirano za 3 dizalica topline u izvedbi zrakom hlađene kompresorsko-isparivačke jedinice s horizontalnim usisom i horizontalnim/vertikalnim ispuhom s jednim ili dva ventilatora.</t>
  </si>
  <si>
    <t>Kućište je namijenjeno za snižavanje buke uređaja i do -25 dB (A) prema DIN EN ISO 10140.</t>
  </si>
  <si>
    <t>Konstrukcija od pocinčanog čeličnog lima (RAL9010) presvučena bijelim prahom s aluminijskim okvirom.</t>
  </si>
  <si>
    <t>Kućište doprinosi zaštiti vanjskih jedinica od utjecaja atmosferilija.</t>
  </si>
  <si>
    <t>Sve komponente uređaja izrađene su od materijala otpornih na koroziju. Unutarnje površine u potpunosti su obložene specijaliziranim materijalom za učinkovitu apsorpciju zvuka. Zbog vodonepropusne folije, vidljive površine otporne su na prašinu i prskanje vode.</t>
  </si>
  <si>
    <t xml:space="preserve">Lamelna konstrukcija omogućuje jednostavan pristup vanjskim jedinicama. Prednja strana kućišta opremljena je s izoliranim vratima što omogućuje optimalan pristup i ugradnju vanjskih jedinica. </t>
  </si>
  <si>
    <t xml:space="preserve">Pristup ožićenju i kablovima vanjske jedinice omogućen je s tri strane kućišta putem kabelskih kanalica. </t>
  </si>
  <si>
    <t>Mogućnost korištenja poprečnih nosača s funkcijom prilagođavanja unutarnje visine kućišta.</t>
  </si>
  <si>
    <t>Tehničke karakteristike uređaja:</t>
  </si>
  <si>
    <t>Dimenzije: (DxŠxV): 10000x1000 x 1500 mm</t>
  </si>
  <si>
    <t>Težina: 700 kg</t>
  </si>
  <si>
    <t>Konstrukcija od pocinčanog čelika</t>
  </si>
  <si>
    <t>U sklopu opreme isporučuje se:</t>
  </si>
  <si>
    <t>- tavica kondenzata sa separatorom ulja</t>
  </si>
  <si>
    <t>- priključni elementi za montažu</t>
  </si>
  <si>
    <t>Parametri i elementi koji su nužan uvjet kod dokazivanja jednakovrijednosti:</t>
  </si>
  <si>
    <t>- zajedničko akustično kućište izrađeno za smještaj vanjskih jedinica sustava za grijanje/hlađenje</t>
  </si>
  <si>
    <t xml:space="preserve">- razina snižavanja buke </t>
  </si>
  <si>
    <t>Ventilacija sanitarija / tehničkih prostorija / kanalni ventilokonvektori</t>
  </si>
  <si>
    <t>Dobava ultra tihih kupaonskih ventilatora za podžbuknu  ugradnju u strop ili zid, komplet s automatikom za  uključivanje preko prekidača svijetla, odgođenim  početkom rada od 45s i isključivanjem 6, 15 ili 21 
minutu (podesivo) nakon isključivanja svijetla.  Uz ventilator se isporučuje kućište za podžbuknu  ugradnju. Kućište je opremljeno s nepovratnom zrakotijesnom zaklopkom  za sprečavanje ulaska vanjskog zraka. Ventilator se isporučuje u zaštiti IPX5,  za ugradnju u  prostor 1. Ventilator je opremljen  permanentnim perivim filterom kojeg je moguće prati u  perilici posuđa i indikatorom zaprljanosti filtera.  Maksimalno dozvoljeno propuštanje nepovratne  zaklopke je 10 l/h pri 50 Pa kontra pritiska</t>
  </si>
  <si>
    <t>Protok zraka, V=60 m3/h</t>
  </si>
  <si>
    <t>Raspoloživi statički tlak,H=240 Pa</t>
  </si>
  <si>
    <t>Snaga, Nel=18W, 230V/50Hz</t>
  </si>
  <si>
    <t xml:space="preserve">       Priključna dimenzija: ɸ77 mm</t>
  </si>
  <si>
    <t>Nivo zvučnog tlaka kod 10m2 ekvivalentne 
apsorpcijske površine, Lpa=35 dB</t>
  </si>
  <si>
    <t>Dimnezija kućišta 262x262x95 mm</t>
  </si>
  <si>
    <t>Isporuka cijevnog centrifugalnog ventilatora za odsis 
sanitarija. Ventilator ima unatrag zakrivljene lopatice
 izrađene iz polimera direktno spojene na motor čime je
 osigurana niska razina buke i visoka efikasnost.  
Zaštita motora je ostvarena ugrađenim termokontaktima, 
pri čemu se ventilator automatski upali nakon hlađenja 
motora. Spajanje na struju pomoću razvodne kutije na 
ventilatoru stupnja zaštite IP 55. Upravljanje:Putem sklopke rasvjete prostorije / vremenskog timera ( rad ventilatora 4 x 2 sata / dan).
 slijedećih tehničkih karakteristika:</t>
  </si>
  <si>
    <t>Protok zraka: 160 m3/h,</t>
  </si>
  <si>
    <t>Vanjski statički tlak: 200 Pa,</t>
  </si>
  <si>
    <t>El. snaga ventilatora: 0,062 kW, ~1, 230V,</t>
  </si>
  <si>
    <t>Nivo zvučnog tlaka Lpa(1m)prema okolišu: 49 dB</t>
  </si>
  <si>
    <t>Promjer ventilatora na najširme dijelu: 271 mm</t>
  </si>
  <si>
    <t>Uz uređaj se isporučuju:</t>
  </si>
  <si>
    <t>- elastični spojevi  AP 160 (2 kom),</t>
  </si>
  <si>
    <t>-  bezstupanjski regulator,  ETY 1,5 (1 kom),</t>
  </si>
  <si>
    <t>Servisna sklopka</t>
  </si>
  <si>
    <t>Tjedni timer</t>
  </si>
  <si>
    <t>Dobava okruglog zračnog kanala i fazonski komadi za razvod zraka. Izrađeni od pocinčanog lima, komplet s bezbojnim silikonskim kitom, koljenima, redukcijama,  T-komada, prelaznih komadima, ovjesom i sličnim priborom za međusobno povezivanje. U stavci su uključeni i fazonski komadi.Debljine limova kanala prema DIN 24145.</t>
  </si>
  <si>
    <t xml:space="preserve">Ø 100 </t>
  </si>
  <si>
    <t>Ø 125</t>
  </si>
  <si>
    <t>Ø 160</t>
  </si>
  <si>
    <t>Ø 250</t>
  </si>
  <si>
    <t>Limeni pravokutni kanali za zrak</t>
  </si>
  <si>
    <t xml:space="preserve">Dobava i montaža pravokutni zračni kanali za razvod zraka izrađeni od pocinčanog lima dijagonalno ili poprečno ukrućeni, komplet s koljenima sa skretnim limovima, račvama, prelaznim i etažnim komadima, sve prema tehničkoj dokumentaciji. U specificiranu masu lima uključene su prirubnice, Wefa-spojnice, brtve, vijci, uglovi, falcani uzdužni i poprečni spojevi te ukrućenja, uključivo poprečne navojne šipke i omega profile na pozicijama ukrute prema DIN 24190. Debljine kanala za dužu stranicu prema DIN 24190 oblik F (falcana izvedba), grupa tlakova 1 i 4. </t>
  </si>
  <si>
    <t>debljina lima:</t>
  </si>
  <si>
    <t>kanalni ventilokonvektori : 0,8mm</t>
  </si>
  <si>
    <t xml:space="preserve">Izoliranje kanalnog razvoda materijalom na bazi kaučuka  debljine 19 mm, s atestom na otpornost prema požaru klase B1 prema HRN-DIN4102 dio1,  komplet s ostalim materijalom. </t>
  </si>
  <si>
    <t>Dobava i montaža rešetke za dobavu zraka, predviđene za ugradnju u zid uključujući i ovjesni materijal, u boji prema odabiru glavnog projektanta, dimenzija:</t>
  </si>
  <si>
    <t>825/225</t>
  </si>
  <si>
    <t>Dobava i montaža rešetke za odsis zraka, predviđene za ugradnju u STROP, uključujući i ovjesni materijal, u boji prema odabiru glavnog projektanta, dimenzija:</t>
  </si>
  <si>
    <t>625/625</t>
  </si>
  <si>
    <t xml:space="preserve">Dobava  aluminijske ispušne protukišne rešetke zaštićena mrežom od ptica i kukaca, za montažu na zid, komplet s protuokvirom za ugradnju.  Isporučuje se u boji koju odredi glavni projektant. </t>
  </si>
  <si>
    <t>P = Ø 125</t>
  </si>
  <si>
    <t>P = Ø 250</t>
  </si>
  <si>
    <t>Dobava zračnog odsisnog ventila  predviđen za ugradnju u kanal / strop, uključujući i ovjesni materijal, boja prema odabiru arhitekta, dimenzija:</t>
  </si>
  <si>
    <t>Ø 100</t>
  </si>
  <si>
    <t>Protupožarna ventilacijska prestrujna rešetka otpornosti na požar od EI 90 za ugradnju u zid. Ugradnja rešetke je iznad vrata.</t>
  </si>
  <si>
    <t>400/200</t>
  </si>
  <si>
    <t>600/200</t>
  </si>
  <si>
    <t xml:space="preserve">Dobava pravokutnog / okruglog prigušivača buke, zajedno s brtvenim i montažnim materijalom, </t>
  </si>
  <si>
    <t>Ø 125 / 400</t>
  </si>
  <si>
    <t>Dobava ovjesa pocinčanih kanala u kompletu sa montažnim materijalom, vijcima i tiplama</t>
  </si>
  <si>
    <t>Stavka obuhvaća izradu radioničkih nacrta ovjesa i njihov statički proračun koje ja izvođač dužan dostaviti nadzornom inženjeru na ovjeru</t>
  </si>
  <si>
    <t xml:space="preserve">Vatrootporna obloga venilacijskih kanala EI 90  </t>
  </si>
  <si>
    <r>
      <rPr>
        <sz val="8"/>
        <rFont val="Calibri"/>
        <family val="2"/>
      </rPr>
      <t xml:space="preserve">
Nabava, doprema materijala i izrada </t>
    </r>
    <r>
      <rPr>
        <b/>
        <sz val="8"/>
        <color indexed="8"/>
        <rFont val="Calibri"/>
        <family val="2"/>
        <scheme val="minor"/>
      </rPr>
      <t>Knauf W628 tip B EI90 pregrade za šahte ukupne debljine 15,0 cm, za zatvaranje zrakodimovodne cijevi na svim etažama.</t>
    </r>
    <r>
      <rPr>
        <sz val="8"/>
        <color indexed="8"/>
        <rFont val="Calibri"/>
        <family val="2"/>
        <scheme val="minor"/>
      </rPr>
      <t xml:space="preserve"> Oblogu izvesti dvostrukim protupožarnim gips-kartonskim (DF) pločama (2x 25,0mm) na originalnoj poc. potkonstrukciji UW/CW100 (debljina pocinčanog lima 0,6mm), prema HRN EN 14195, na međusobnom osnom razmaku od 62,5 cm. Prostor između čeličnih profila  ispuniti mekom kamenom vunom, a u deb. 10,0cm.  Sve spojeve GK ploča ljepiti, bandažirati i gletati finish glet masom, sve pripremljeno za sobosikarske radove.</t>
    </r>
  </si>
  <si>
    <t>U stavi je uključena i izjava ovlaštenog izvođača građevinsko obrtničkih i atesti  proizvođača da je izvedena obloga vatrootpornosti EI90. Izjava i atesti se prilažu prilikom prijave radova Operateru distribucijskog sustava.</t>
  </si>
  <si>
    <r>
      <t>m</t>
    </r>
    <r>
      <rPr>
        <vertAlign val="superscript"/>
        <sz val="9"/>
        <rFont val="Arial"/>
        <family val="2"/>
        <charset val="238"/>
      </rPr>
      <t>2</t>
    </r>
  </si>
  <si>
    <t>Ventilacija zlatne dvorane</t>
  </si>
  <si>
    <t>etažna ventilokomora vanjske izvedbe s integriranom automatskom regulacijom i nadžbuknom upravljačkom jedinicom</t>
  </si>
  <si>
    <t>Materijali:</t>
  </si>
  <si>
    <t xml:space="preserve">-         profili: plastificirani aluminij </t>
  </si>
  <si>
    <t>-         kutnici: Nylon</t>
  </si>
  <si>
    <t xml:space="preserve">-         vanjski plašt: ZnAlMg </t>
  </si>
  <si>
    <t xml:space="preserve">-         unutarnji plašt: ZnAlMg </t>
  </si>
  <si>
    <t xml:space="preserve">-         dno: ZnAlMg </t>
  </si>
  <si>
    <t>-         vodiči: ZnAlMg coated</t>
  </si>
  <si>
    <t>-         izolacija: mineralna vuna 100kg/m3 kg/m3</t>
  </si>
  <si>
    <t>debljina pokrova: 50 mm</t>
  </si>
  <si>
    <t>Jedinica je iznutra u potpunosi glatka i ima sva potrebna vrata  ili  pokrove za posluživanje i dostup do funkcijskih elemenata unutar kućišta. Duž oboda je ugrađen gumirani brtveni profil kvalitete. Vrata su na okvir pričvršćena pantima i zatvaraju se kukama.</t>
  </si>
  <si>
    <t>Jedinice su postavljene na nosive okvire koji su izrađeni od pocinčanog čeličnog lima ili AL profila. U okvirima su otvori koji služe kao točke za dizanje, provrti za odvod kondenza i za pričvršćivanje nogica sa vijačnim spojem.</t>
  </si>
  <si>
    <t xml:space="preserve">Mehaničke karakteristike kućišta ventilokomore po EN 1886 su slijedeće: </t>
  </si>
  <si>
    <t>-        mehanička stabilnost: razred D1</t>
  </si>
  <si>
    <t>-        brtvenost kućišta pri negativnom tlaku -400 Pa: razred L2</t>
  </si>
  <si>
    <t xml:space="preserve">-        brtvenost kućišta pri pozitivnom tlaku +700 Pa: razred L2  </t>
  </si>
  <si>
    <t>-        brtvenost ugrađenih filtera pri negativnom tlaku -400 Pa: razred F9</t>
  </si>
  <si>
    <t xml:space="preserve">-        brtvenost ugrađenih filtera pri pozitivnom tlaku +400 Pa: razred F9 </t>
  </si>
  <si>
    <t>-        toplinska provodljivost kućišta: razred T2</t>
  </si>
  <si>
    <t>-        faktor toplinskih mostova razred TB2</t>
  </si>
  <si>
    <t>-        razred požarne otpornosti toplinske izolacije A1 po EN 13501-1</t>
  </si>
  <si>
    <t>Ukupni podaci za uređaj:</t>
  </si>
  <si>
    <t xml:space="preserve"> dužina:2620 mm</t>
  </si>
  <si>
    <t>širina:	750 mm</t>
  </si>
  <si>
    <t>visina:	750 mm</t>
  </si>
  <si>
    <t>težina:	386 kg</t>
  </si>
  <si>
    <t>Protok zraka kroz jedinicu:
Dovod: 3.000 m3/h</t>
  </si>
  <si>
    <t>DOVOD
Zupčasta regulacijska žaluzina razreda zrakotijesnosti 2 po EN 1751, sa vanjskim ležečim zupčanicima od polipropilena PA6+GF30%, okvirom i lamelama od aluminija EN AW-6060, brtvilom između lamela od EPDM materijala i sa pogonskom osovinom od pocinčanog čelika. Ugrađene su na unutarnjoji na strani kućišta, te pripremljene za ugradnju motornog pogona.
Usisna hauba</t>
  </si>
  <si>
    <t>Vrećasti filter razreda filtracije F7 po EN 779, dužine vreće 380 mm, ugrađen je u filterski okvir koji omogućuje postranično izvlačenje. Posluživanje filtera je kroz vrata za posluživanje.</t>
  </si>
  <si>
    <t>Električni grijač 21,6 kW /400 V</t>
  </si>
  <si>
    <t>Direktno pogonjeni ventilator sa EC motorom ugrađen direktno na ventilatorskoj osovini bez spiralnog kućišta ugrađen je u ventilokomoru pravokutno na protok zraka, sa rotorom unatrag zakrivljenih lopatica koji je montiran direktno na osovini EC motora sa naprednom regulacijom broja okretaja postavljenom neposredno na ventilatorski panel. Rotor ventilatora je dinamično uravnotežen po DIN ISO 1940 dio 1 – G 2,5.
Tehnički podaci:
	Protok zraka: 3.000 m3/h,
	Vanjski pad tlaka: 200 Pa,
	Broj ventilatora: 1,
	SFP: 837 kW/(m3/h),
	Snaga= 1,3 kW - IE4 EC</t>
  </si>
  <si>
    <t>DX hladnjak
Iza hladnjaka je po potrebi ugrađen eliminator vodenih kapljica, koji je sastavljen iz okvira od korozijski otpornog aluminija i sabirnih lamela od PPTV. Ispod hladnjaka i eliminatora je posuda za sakupljanje i odvod kondenzata od nehrđajučeg materijala.</t>
  </si>
  <si>
    <t>Materijali:
	okvir: Pocinčano
	cijevi: Bakar
	lamele: Aluminij 
	sabirna cijev: Bakar</t>
  </si>
  <si>
    <t>Tehnički podaci:
	hladivo: R410A
	temperatura isparivanja: 7,00°C
	potrebna rashladna snaga: 22,65kW
	temperatura ispred hladnjaka: 24,20°C/66,0%
	temperatura iza hladnjaka: 12,00°C/92,9%</t>
  </si>
  <si>
    <t>Eliminator vodenih kapljica izrađen je iz okvira od Al profila u koji su jednakomjerno ugrađene plastične lamele od polypropilena za prikupljanje i odvajanje vodenih kapljica. Trajna temperaturna otpornost lamela je do 125°C, ugrađene su unutar kućišta jedinice u toku struje zraka, iza hladnjaka ili direktnog isparivača. Postavlja se iznad kade ili posude za prikupljanje kondenzata, te ga je preko vodilica moguće izvući iz kućišta ventilokomore.
Električni grijač je sastavljen iz okvira od pocinčanog čelika, zaštićen alucinkom AZ 185, električnih grijačih tijela od nehrđajućeg čelika 1.4301 sa specifičnom površinskom snagom grijanja 3 W/cm2, sigurnosnog termostata i ograničivaća temperature, te opreme za regulaciju snage grijanja sa vanjskim upravljačkim signalom 0-10 V. Minimalna brzina zraka kroz električni grijač je 1,5 m/s. Maksimalna temperatura zraka na izlazu iz elektro grijača je 50 °C.</t>
  </si>
  <si>
    <t xml:space="preserve">Fleksibilni priključak razreda zrakotijesnosti C po EN13810 i po EN 1507 u području od ±1500 Pa, sastavljen je iz dva prirubnička okvira od pocinčanog lima sa integriranom brtvenom trakom od EPDM gume i fleksibilnog dijela od nehigroskopskog materijala otpornog na temperature u području od -10 do +80°C.
</t>
  </si>
  <si>
    <t>Upravljačka jedinica</t>
  </si>
  <si>
    <t>debljina lima: 1,0mm</t>
  </si>
  <si>
    <t>710/500</t>
  </si>
  <si>
    <t>400/600</t>
  </si>
  <si>
    <t>400/600 /900</t>
  </si>
  <si>
    <t>Prisilna ventilacija rekuperatorima</t>
  </si>
  <si>
    <t xml:space="preserve">Ventilacijsko-rekuperatorska jedinica horizontalne izvedbe sa pločastim rekuperatorom sa ugrađenim bypassom, filterima na tlaku i odsisu, izmjenjivačem sa direktnom ekspanzijom, štedljivim tlačnim i odsisnim EC ventilatorima, elektronskim ekspanzijskim ventilom te svim potrebnim elementima za zaštitu, kontrolu i regulaciju uređaja i temperature. Mogućnost spajanja na Modbus komunikacijski kanal te dvije izvedbe uređaja: visokoučinkoviti i senzibilni. </t>
  </si>
  <si>
    <t>Qh DX izmjenjivača = 7,0 kW</t>
  </si>
  <si>
    <t>To = 25°C ST, RH 28%</t>
  </si>
  <si>
    <t>Qg = 8,1 kW</t>
  </si>
  <si>
    <t>Tv= 5°C ST, RH 72%</t>
  </si>
  <si>
    <t>VZ = 1500  m3/h</t>
  </si>
  <si>
    <t>Raspoloživi statički tlak = 150 Pa</t>
  </si>
  <si>
    <t>Stupanj učink. (temp.-hlađenje): 60,3 %</t>
  </si>
  <si>
    <t>Stupanj učink. (ental.- grijanje): 50,7 %</t>
  </si>
  <si>
    <t xml:space="preserve">dimenzije: 1720 x 1580 mm </t>
  </si>
  <si>
    <t xml:space="preserve"> h = 408 mm</t>
  </si>
  <si>
    <t>težina: 135 kg</t>
  </si>
  <si>
    <t>N = 230 V - 50 Hz</t>
  </si>
  <si>
    <t>Nivo zvučnog tlaka (@1 m/@3 m): 42/36 dB(A)</t>
  </si>
  <si>
    <t>Dimenzija priključka povratnog, usisnog i ispušnog kanala: Φ 250 mm</t>
  </si>
  <si>
    <t>Dimenzija priključka dobavnog kanala ŠxV: 450x330 mm</t>
  </si>
  <si>
    <t>Priključak R410A/R32: tekuća faza: 9,52 mm</t>
  </si>
  <si>
    <t>Priključak R410A/R32: plinovita faza: 15,88 mm</t>
  </si>
  <si>
    <t>Žičani daljinski upravljač za jedinice sa sljedećim funkcijama: timer za uključivanje/isključivanje uređaja iz pogona, regulacija brzine ventilatora, podešavanje načina rada, signalizacija zaprljanosti filtera, modul rada za vrijeme godišnjeg odmora.</t>
  </si>
  <si>
    <t>Tehničke karakteristike:</t>
  </si>
  <si>
    <t>Napajanje: 12V</t>
  </si>
  <si>
    <t>Radna temperatura: 0 do 40 °C</t>
  </si>
  <si>
    <t>Dopuštena duljina žice: 100 m</t>
  </si>
  <si>
    <t>broj jedinica za upravljanje: do 16  jedinica</t>
  </si>
  <si>
    <t>0,8mm</t>
  </si>
  <si>
    <t>Dobava  fleksibilne cijevi za odvod zraka, izrađena iz petslojne laminarne aluminijaste folije, toplinske izolacije in čelične žične spirale. Maksimalna dužina po priključku iznosi 0,5m.</t>
  </si>
  <si>
    <t>kanalni razvod</t>
  </si>
  <si>
    <t>Dobava i montaža rešetke za dobavu zraka, predviđene za ugradnju u kanal / zid uključujući priključni plenum za spoj na okrugli kana i ovjesni materijal, u boji prema odabiru glavnog projektanta, dimenzija:</t>
  </si>
  <si>
    <t>325/125</t>
  </si>
  <si>
    <t>525/225</t>
  </si>
  <si>
    <t xml:space="preserve">Dobava kvadratnog stropnog anemostata od valjanih čeličnih profila, u boji prema odabiru arhitekta, spodesivim lamelama u crnoj boji, centralnim vijkom, plastičnih usmjerivača zraka, ovjesni matrijal, regulacijskom zaklopkom s priključnom kutijom. Priključna kutija je izolirana toplinski. </t>
  </si>
  <si>
    <t>366/366/280 - ∅160, g=5,3kg</t>
  </si>
  <si>
    <t xml:space="preserve">plenum </t>
  </si>
  <si>
    <t>560/400</t>
  </si>
  <si>
    <t>300/250/500</t>
  </si>
  <si>
    <t xml:space="preserve">Potrebni elektro radovi na spajanju opreme od strane ovlaštenog servisera. </t>
  </si>
  <si>
    <t>Protupožarne zaklopke</t>
  </si>
  <si>
    <t>Dobava   protupožarne zaklopke vatrootpornosti 90 min za ugradnju u požarni zid s prirubnicama za spajanje u limeni kanal. Zaklopka je opremljena termoosjetnikom za okidanje (72 °C), elektromotornim pogonom s povratnom oprugom, automatsko zatvaranje pri prekidu napajanja i pripadajućim krajnjim sklopkama za indikaciju položaja zaklopke (otvoreno/zatvoreno). Napajanje/upravljanje zaklopke (220V) definirano je projektom elektroinstalacija.</t>
  </si>
  <si>
    <t>Protupožarne zakloke moraju biti dimonepropusne prema HRN EN 1366-2:2015.</t>
  </si>
  <si>
    <t>Protupožarne zaklopke isporučiti s važečim hrvatskim atestima.</t>
  </si>
  <si>
    <t>Ø 125/400</t>
  </si>
  <si>
    <t>800/250/350</t>
  </si>
  <si>
    <t>Prodore zračnih kanala instalacija ventilacije i klimatizacije kroz granice požarnih sektora brtviti atestiranim negorivim materijalom iste klase vatrootpornosti kao i vatrootpornost konstruktivnih elemenata kroz koje te instalacije prolaze, prema normi HRN DIN 4102/IX, klase  R90.</t>
  </si>
  <si>
    <t>Stavka obuhvaća rad i sav materijal u potrebnoj količini i kvaliteti uz izdavanje popratnih atesta.</t>
  </si>
  <si>
    <t>Za kanale slijedećih veličina</t>
  </si>
  <si>
    <t>Pojedinačno funkcionalno ispitivanje protupožarne zaklopke od strane ovlaštene ustanove sukladno postojećim propisima. ( 3 nove i 1 postojeća)</t>
  </si>
  <si>
    <t>Zajediničke stavke</t>
  </si>
  <si>
    <t>Montaža opreme, instalacije i svog navedenog materijala do pune pogonske gotovosti. Montažu opreme treba izvršiti prema uputama proizvođača. Montažu u svemu treba izvesti prema projektnim nacrtima, tehničkom opisu i ovom troškovniku, sa svim potrebnim sitnim montažnim materijalom. Radove treba izvesti stručna radna snaga uz stručni nadzor.</t>
  </si>
  <si>
    <t>U cijeni montaže treba predvidjeti i sve potrebne skele, fiksne i pomične za rad na visini, sukladno postojećim propisima.</t>
  </si>
  <si>
    <t xml:space="preserve">Provesti trodnevni probni pogon instalacije i pogonske opreme, uz reguliranje svih uređaja od strane ovlaštenih osoba. Uključiti konačno puštanje instalacije u pogon zajedno sa svim potrebnim podešavanjima i mjerenjima, dokumentirati ovjerenim zapisnicima. </t>
  </si>
  <si>
    <t>Kompletiranje valjane atestne dokumentacije, ispitnih listova, dokaza o kvaliteti i jamstvenih listova na isporučenu opremu, uređaje i instalaciju za sve sustave hlađenja u objektu, sva potrebna ispitivanja za potrebne tehničkog pregleda. Stavkom obuhvatiti edukciju koristnika sa upravljanjem ugrađenog sustava.</t>
  </si>
  <si>
    <t xml:space="preserve">Projekt izvedenog stanja strojarskog projekta, uvezan u tri zasebna primjerka u papirnatom obliku i na CD-u. Projekt izvedenog stanja se izrađuje na temelju unesenih svih izmjena od strane izvođaća u jedan primjerak dokumentacije. Izrada pismenih uputa za rukovanje i održavanje za sve sustave grijanja, hlađenja i ventilacije korisnika zaduženog za predmetne instalacije. </t>
  </si>
  <si>
    <t>Pripremno-završni radovi. Uvođenje u posao, upoznavanje s građevinom, obilježavanje prodora i proboja, građevinska pripomoć pri uspostavi prodora, šlicanja u zidovima, podovima, stropovima za prolaz i polaganje instalacija i usklađivanje s ostalim sudionicima u gradnji.</t>
  </si>
  <si>
    <t>Strojarski radovi za preinake instalacije u objektu:</t>
  </si>
  <si>
    <t>PKV radnik</t>
  </si>
  <si>
    <t>KV radnik</t>
  </si>
  <si>
    <t xml:space="preserve">Natpisne pločice i samoljepljive naljepnice za označavanje opreme i elemenata cijevnog razvoda instalacije i na svim regulacijskim grupama po objektu. </t>
  </si>
  <si>
    <t>PDV (25%)</t>
  </si>
  <si>
    <t>UKUPNO INSTALACIJA GRIJANJA, HLAĐENJA I VENTILACIJE</t>
  </si>
  <si>
    <t>C.</t>
  </si>
  <si>
    <t>RADOVI INSTALACIJA GRIJANJA, HLAĐENJA I VENTILACIJE UKUPNO:</t>
  </si>
  <si>
    <t xml:space="preserve">RADOVI INSTALACIJA GRIJANJA, HLAĐENJA I VENTILACIJE </t>
  </si>
  <si>
    <t>C</t>
  </si>
  <si>
    <t>Broj stavke</t>
  </si>
  <si>
    <t>Opis radova</t>
  </si>
  <si>
    <t>Jedinična mjera</t>
  </si>
  <si>
    <t>Jedinična cijena (€)</t>
  </si>
  <si>
    <t xml:space="preserve"> Ukupna 
cijena (€)</t>
  </si>
  <si>
    <t>PRIPREMNI RADOVI I RUŠENJA</t>
  </si>
  <si>
    <t>1.1.</t>
  </si>
  <si>
    <t>GEODETSKO ISKOLČENJE</t>
  </si>
  <si>
    <r>
      <t xml:space="preserve">Stavka obuhvaća geodetsko iskolčenje (visinsko i položajno) prema profilima na osnovu podataka iz projekta te sve ostale radove na osiguranju geodetskih točaka. </t>
    </r>
    <r>
      <rPr>
        <b/>
        <sz val="10"/>
        <rFont val="Arial"/>
        <family val="2"/>
      </rPr>
      <t>Sve krivulje iskolčiti uz maksimalni razmak točaka 0,5 m. Obavezna kontinuirana geodetska prisutnost tijekom izvođenja projektiranih radova.</t>
    </r>
    <r>
      <rPr>
        <sz val="10"/>
        <rFont val="Arial"/>
        <family val="2"/>
      </rPr>
      <t xml:space="preserve"> Iskolčenja se moraju osigurati od uništenja i biti jasno vidljiva cijelim tijekom izvođenja radova.  U cijenu je uračunat sav potreban materijal, rad i sredstva.</t>
    </r>
  </si>
  <si>
    <t xml:space="preserve">Obračun po kompletu izvedenog iskolčenja. </t>
  </si>
  <si>
    <t>1.2.</t>
  </si>
  <si>
    <t>SNIMKA I PROJEKT IZVEDENOG STANJA</t>
  </si>
  <si>
    <t>Izrada snimka i projekta izvedenog stanja građevina, komplet sa snimkama izvedenih instalacija i sl. (za potrebe tehničkog pregleda građevine i sl.). Dokumentacija se izrađuje digitalno, a predaje Naručitelju na CD-u i u papirnatoj kopiji, prema odredbama Ugovora.</t>
  </si>
  <si>
    <t>Obračun je po kompletu.</t>
  </si>
  <si>
    <t>1.3.</t>
  </si>
  <si>
    <t>ZAŠTITA STUBA - ISTOK</t>
  </si>
  <si>
    <r>
      <t xml:space="preserve">Zaštita od mogućih oštećenja tijekom radova postojećih vanjskih ulaznih stuba s Radićeve ulice (opločanih granitnim pločama) i stuba koje vode u pomoćni prostor palače (opločane dekroativnim betonskim pločama). Zaštita svih stuba i podesta se izvodi daščanom oplatom i PVC folijom. </t>
    </r>
    <r>
      <rPr>
        <b/>
        <sz val="10"/>
        <rFont val="Arial"/>
        <family val="2"/>
      </rPr>
      <t>Izvodi se prije početka radova u istočnom dvorištu!</t>
    </r>
  </si>
  <si>
    <t>U cijenu stavke uračunati sav potreban rad i materijal.</t>
  </si>
  <si>
    <t>Obračun po kom stube i m³ podesta.</t>
  </si>
  <si>
    <t>STUBE - RADIĆEVA</t>
  </si>
  <si>
    <t xml:space="preserve"> - podest</t>
  </si>
  <si>
    <r>
      <t>m</t>
    </r>
    <r>
      <rPr>
        <vertAlign val="superscript"/>
        <sz val="10"/>
        <rFont val="Arial"/>
        <family val="2"/>
      </rPr>
      <t>2</t>
    </r>
  </si>
  <si>
    <t xml:space="preserve"> - stube</t>
  </si>
  <si>
    <t xml:space="preserve">kom </t>
  </si>
  <si>
    <t>STUBE - POM. PROSTOR PALAČE</t>
  </si>
  <si>
    <t>1.4.</t>
  </si>
  <si>
    <t>POSTOJEĆA STABLA / BOŽIKOVINA - vađenje i presađivanje na novu lokaciju</t>
  </si>
  <si>
    <r>
      <rPr>
        <b/>
        <sz val="10"/>
        <rFont val="Arial"/>
        <family val="2"/>
      </rPr>
      <t>Izvodi se prije svih iskopa i drugih radova na krajobraznom uređenju</t>
    </r>
    <r>
      <rPr>
        <sz val="10"/>
        <rFont val="Arial"/>
        <family val="2"/>
      </rPr>
      <t>, a odnosi se na tri stabla božikovine (</t>
    </r>
    <r>
      <rPr>
        <i/>
        <sz val="10"/>
        <rFont val="Arial"/>
        <family val="2"/>
      </rPr>
      <t>Ilex aqufolium</t>
    </r>
    <r>
      <rPr>
        <sz val="10"/>
        <rFont val="Arial"/>
        <family val="2"/>
      </rPr>
      <t>) - zakonom zaštićena biljna vrsta.</t>
    </r>
  </si>
  <si>
    <t>Radove trebaju izvesti za to kvalificirani stručnjaci, pažljivo da se sačuva habitus i korijen, te odmah po vađenju korijenje zaštititi vlažnom jutenom tkaninom.</t>
  </si>
  <si>
    <t>Uključivo prijevoz i sadnja na konačnu poziciju (ili u trap do trenutka konačne sadnje) na lokaciju koju odredi investitor.</t>
  </si>
  <si>
    <t>ZAPAD</t>
  </si>
  <si>
    <r>
      <t xml:space="preserve">3. </t>
    </r>
    <r>
      <rPr>
        <i/>
        <sz val="10"/>
        <rFont val="Arial"/>
        <family val="2"/>
      </rPr>
      <t>Ilex aquifolim</t>
    </r>
    <r>
      <rPr>
        <sz val="10"/>
        <rFont val="Arial"/>
        <family val="2"/>
      </rPr>
      <t xml:space="preserve"> (r=8-10 cm, v=1 m)</t>
    </r>
  </si>
  <si>
    <r>
      <t xml:space="preserve">4. </t>
    </r>
    <r>
      <rPr>
        <i/>
        <sz val="10"/>
        <rFont val="Arial"/>
        <family val="2"/>
      </rPr>
      <t>Ilex aquifolim</t>
    </r>
    <r>
      <rPr>
        <sz val="10"/>
        <rFont val="Arial"/>
        <family val="2"/>
      </rPr>
      <t xml:space="preserve"> (r=20 cm, v=5 m)</t>
    </r>
  </si>
  <si>
    <t>ISTOK</t>
  </si>
  <si>
    <r>
      <t xml:space="preserve">16. </t>
    </r>
    <r>
      <rPr>
        <i/>
        <sz val="10"/>
        <rFont val="Arial"/>
        <family val="2"/>
      </rPr>
      <t>Ilex aquifolim</t>
    </r>
    <r>
      <rPr>
        <sz val="10"/>
        <rFont val="Arial"/>
        <family val="2"/>
      </rPr>
      <t>, grm (r=6-8 cm, v=1,5 m)</t>
    </r>
  </si>
  <si>
    <t>1.5.</t>
  </si>
  <si>
    <t>POSTOJEĆE GRMLJE - rezanje / uklanjanje / iskorjenjivanje</t>
  </si>
  <si>
    <t>Rezanje / uklanjanje / iskorjenjivanje grupacija postojećeg grmlja, sa kupčanjem, utovarom i odvozom do 20 km.</t>
  </si>
  <si>
    <t>Obračun po komadu / grupaciji.</t>
  </si>
  <si>
    <r>
      <t xml:space="preserve">6. </t>
    </r>
    <r>
      <rPr>
        <i/>
        <sz val="10"/>
        <rFont val="Arial"/>
        <family val="2"/>
      </rPr>
      <t>Taxus baccata</t>
    </r>
    <r>
      <rPr>
        <sz val="10"/>
        <rFont val="Arial"/>
        <family val="2"/>
      </rPr>
      <t>, grm (r=20 cm, v=3 m)</t>
    </r>
  </si>
  <si>
    <r>
      <t xml:space="preserve">7. </t>
    </r>
    <r>
      <rPr>
        <i/>
        <sz val="10"/>
        <rFont val="Arial"/>
        <family val="2"/>
      </rPr>
      <t>Taxus baccata</t>
    </r>
    <r>
      <rPr>
        <sz val="10"/>
        <rFont val="Arial"/>
        <family val="2"/>
      </rPr>
      <t>, grm (r=20 cm, v=3 m)</t>
    </r>
  </si>
  <si>
    <r>
      <t xml:space="preserve">12. </t>
    </r>
    <r>
      <rPr>
        <i/>
        <sz val="10"/>
        <rFont val="Arial"/>
        <family val="2"/>
      </rPr>
      <t>Laburnum anagyroides</t>
    </r>
    <r>
      <rPr>
        <sz val="10"/>
        <rFont val="Arial"/>
        <family val="2"/>
      </rPr>
      <t>, grm (r=5-10 cm / više stabljika, v=1 m)</t>
    </r>
  </si>
  <si>
    <r>
      <t xml:space="preserve">14. </t>
    </r>
    <r>
      <rPr>
        <i/>
        <sz val="10"/>
        <rFont val="Arial"/>
        <family val="2"/>
      </rPr>
      <t>Taxus baccata</t>
    </r>
    <r>
      <rPr>
        <sz val="10"/>
        <rFont val="Arial"/>
        <family val="2"/>
      </rPr>
      <t>, 2 grma (r=5-10 cm / više stabljika, v=4 m)</t>
    </r>
  </si>
  <si>
    <r>
      <t xml:space="preserve">15. </t>
    </r>
    <r>
      <rPr>
        <i/>
        <sz val="10"/>
        <rFont val="Arial"/>
        <family val="2"/>
      </rPr>
      <t>Juglans regia</t>
    </r>
    <r>
      <rPr>
        <sz val="10"/>
        <rFont val="Arial"/>
        <family val="2"/>
      </rPr>
      <t>, grm (r=5-10 cm / 3 debla, v=5 m)</t>
    </r>
  </si>
  <si>
    <r>
      <t xml:space="preserve">xx. </t>
    </r>
    <r>
      <rPr>
        <i/>
        <sz val="10"/>
        <rFont val="Arial"/>
        <family val="2"/>
      </rPr>
      <t xml:space="preserve">Hedera helix </t>
    </r>
    <r>
      <rPr>
        <sz val="10"/>
        <rFont val="Arial"/>
        <family val="2"/>
      </rPr>
      <t>(bršljan na potpornim zidovima uz pješački ulaz)</t>
    </r>
  </si>
  <si>
    <t>1.6.</t>
  </si>
  <si>
    <t>POSTOJEĆA STABLA - rušenje, uklanjanje panjeva i korijenja</t>
  </si>
  <si>
    <t>Rušenje stabala, po potrebi u fazama, uključivo uklanjanje panjeva zajedno s korijenjem.</t>
  </si>
  <si>
    <t xml:space="preserve">Uključivo utovar i odvoz na na deponij udaljenosti do 20 km. </t>
  </si>
  <si>
    <r>
      <t xml:space="preserve">1. </t>
    </r>
    <r>
      <rPr>
        <i/>
        <sz val="10"/>
        <rFont val="Arial"/>
        <family val="2"/>
      </rPr>
      <t>Magnolia kobus</t>
    </r>
    <r>
      <rPr>
        <sz val="10"/>
        <rFont val="Arial"/>
        <family val="2"/>
      </rPr>
      <t xml:space="preserve"> (r=20 cm, v=7 m)</t>
    </r>
  </si>
  <si>
    <r>
      <t>2.</t>
    </r>
    <r>
      <rPr>
        <i/>
        <sz val="10"/>
        <rFont val="Arial"/>
        <family val="2"/>
      </rPr>
      <t xml:space="preserve"> Magnolia kobus</t>
    </r>
    <r>
      <rPr>
        <sz val="10"/>
        <rFont val="Arial"/>
        <family val="2"/>
      </rPr>
      <t xml:space="preserve"> (r=20 cm, v=8 m)</t>
    </r>
  </si>
  <si>
    <r>
      <t xml:space="preserve">5. </t>
    </r>
    <r>
      <rPr>
        <i/>
        <sz val="10"/>
        <rFont val="Arial"/>
        <family val="2"/>
      </rPr>
      <t>Magnolia kobu</t>
    </r>
    <r>
      <rPr>
        <sz val="10"/>
        <rFont val="Arial"/>
        <family val="2"/>
      </rPr>
      <t>s (r=35 cm, v=10 m)</t>
    </r>
  </si>
  <si>
    <r>
      <t xml:space="preserve">8. </t>
    </r>
    <r>
      <rPr>
        <i/>
        <sz val="10"/>
        <rFont val="Arial"/>
        <family val="2"/>
      </rPr>
      <t>Fraxinus excelsior</t>
    </r>
    <r>
      <rPr>
        <sz val="10"/>
        <rFont val="Arial"/>
        <family val="2"/>
      </rPr>
      <t xml:space="preserve"> 'Pendula' (r=10-12 cm, v=2,5 m)</t>
    </r>
  </si>
  <si>
    <r>
      <t>9. J</t>
    </r>
    <r>
      <rPr>
        <i/>
        <sz val="10"/>
        <rFont val="Arial"/>
        <family val="2"/>
      </rPr>
      <t>uglans regia</t>
    </r>
    <r>
      <rPr>
        <sz val="10"/>
        <rFont val="Arial"/>
        <family val="2"/>
      </rPr>
      <t xml:space="preserve"> (r=10 cm / v=4 m)</t>
    </r>
  </si>
  <si>
    <r>
      <t xml:space="preserve">10. </t>
    </r>
    <r>
      <rPr>
        <i/>
        <sz val="10"/>
        <rFont val="Arial"/>
        <family val="2"/>
      </rPr>
      <t>Taxus baccata</t>
    </r>
    <r>
      <rPr>
        <sz val="10"/>
        <rFont val="Arial"/>
        <family val="2"/>
      </rPr>
      <t xml:space="preserve"> (r=5-7 cm / više stabljika, v=4 m)</t>
    </r>
  </si>
  <si>
    <r>
      <t xml:space="preserve">11. </t>
    </r>
    <r>
      <rPr>
        <i/>
        <sz val="10"/>
        <rFont val="Arial"/>
        <family val="2"/>
      </rPr>
      <t>Styphnolobium japonicum</t>
    </r>
    <r>
      <rPr>
        <sz val="10"/>
        <rFont val="Arial"/>
        <family val="2"/>
      </rPr>
      <t xml:space="preserve"> 'Pendula' (r=15-20 cm, v=4 m)</t>
    </r>
  </si>
  <si>
    <r>
      <t xml:space="preserve">13. </t>
    </r>
    <r>
      <rPr>
        <i/>
        <sz val="10"/>
        <rFont val="Arial"/>
        <family val="2"/>
      </rPr>
      <t>Ficus carica</t>
    </r>
    <r>
      <rPr>
        <sz val="10"/>
        <rFont val="Arial"/>
        <family val="2"/>
      </rPr>
      <t>, u zidu (r=5 cm, v=2 m)</t>
    </r>
  </si>
  <si>
    <r>
      <t xml:space="preserve">17. </t>
    </r>
    <r>
      <rPr>
        <i/>
        <sz val="10"/>
        <rFont val="Arial"/>
        <family val="2"/>
      </rPr>
      <t>Styphnolobium japonicum</t>
    </r>
    <r>
      <rPr>
        <sz val="10"/>
        <rFont val="Arial"/>
        <family val="2"/>
      </rPr>
      <t xml:space="preserve"> 'Pendula' (r=25 cm, v=4 m)</t>
    </r>
  </si>
  <si>
    <t>1.7.</t>
  </si>
  <si>
    <t>POST. RASVJETNA TIJELA + BET.TEMELJ, uklanjanje i odvoz</t>
  </si>
  <si>
    <t xml:space="preserve">Demontaža rasvjetnih tijela uz sve potrebne predradnje vezane za elektrotehničke radove. Uključivo podzemni betonski temelji samci pretpostavljene dimenzije 30x30x50 cm. U cijenu stavke uračunati sav potreban rad i materijal te odvoz na deponij / oporabište na udaljenosti do 20 km. </t>
  </si>
  <si>
    <t>Obračun po kom rasvjetnih tijela i m³ betonskih temelja.</t>
  </si>
  <si>
    <t xml:space="preserve"> - podni reflektori</t>
  </si>
  <si>
    <t xml:space="preserve"> - bet. temelji - 30x30x50 cm</t>
  </si>
  <si>
    <r>
      <t>m</t>
    </r>
    <r>
      <rPr>
        <vertAlign val="superscript"/>
        <sz val="10"/>
        <rFont val="Arial"/>
        <family val="2"/>
      </rPr>
      <t>3</t>
    </r>
  </si>
  <si>
    <t xml:space="preserve"> - niski stupići rasvjete</t>
  </si>
  <si>
    <t>1.8.</t>
  </si>
  <si>
    <t>POST. RUBNJAK / OPEKA - ZAPAD, uklanjanje i odvoz</t>
  </si>
  <si>
    <t>Ručno i strojno rušenje, otkopavanje, uklanjanje rubnjaka od sjekomice postavljene opeke s pripadajućim trakastim temeljom, pretpostavljeni presjek 15x30cm.</t>
  </si>
  <si>
    <t xml:space="preserve">U cijenu stavke uračunati sav potreban rad i materijal te odvoz na deponij udaljenosti do 20 km. </t>
  </si>
  <si>
    <t>Obračun po m' izvađenog rubnjaka s temeljom i m³  uklonjenog i odveženog materijala.</t>
  </si>
  <si>
    <t xml:space="preserve"> - uklanjanje</t>
  </si>
  <si>
    <t xml:space="preserve"> - odvoz</t>
  </si>
  <si>
    <t>1.9.</t>
  </si>
  <si>
    <t>POST. OPLOČENJE / OPEKA - ZAPAD, uklanjanje i odvoz</t>
  </si>
  <si>
    <t>Uklanjanje  opločenja od pljoštimice postavljene opeke (deb.cca 7 cm) zajedno s cementnim mortom ili pijeskom, odnosno sa svim slojevima poda - ukupna dubina cca 30cm.</t>
  </si>
  <si>
    <t>Obračun po m² uklonjenog opločenja i  m³  odveženog materijala.</t>
  </si>
  <si>
    <t>1.10.</t>
  </si>
  <si>
    <t>POST. SLOJEVI ŠLJUNČANIH STAZA I METALNI RUBNJACI - ISTOK, iskop i odvoz</t>
  </si>
  <si>
    <t>Uklanjanje nasipanih slojeva staza u debljini cca 30 cm, uključivo tipski metalni rubnjak učvršćen metalnim klinovima.</t>
  </si>
  <si>
    <t>S obzirom da je riječ o izrazitoj kosini, volumen je korigiran s faktorom 1,2.</t>
  </si>
  <si>
    <t>Obračun po m³ uklonjenog i odveženog materijala.</t>
  </si>
  <si>
    <t xml:space="preserve"> - uklanjanje i odvoz</t>
  </si>
  <si>
    <t>1.11.</t>
  </si>
  <si>
    <t>POST. SLOJEVI ŠLJUNČANOG PLATOA - ISTOK, iskop i odvoz</t>
  </si>
  <si>
    <t>Uklanjanje nasipanih slojeva platoa u debljini cca 30 cm.</t>
  </si>
  <si>
    <t>1.12.</t>
  </si>
  <si>
    <t>ODVODNA KANALICA (OBLUTCI) - ISTOK, uklanjanje i odvoz</t>
  </si>
  <si>
    <t>Rušenje / uklanjanje odvodne kanalice - oblutci u cementnom mortu na betonskoj podlozi, izvedene uz kameni potporni zid - ISTOK.</t>
  </si>
  <si>
    <t>Pretpostavljeni ukupni presjek 25x30 cm.</t>
  </si>
  <si>
    <t xml:space="preserve">U cijenu stavke uračunati sav potreban rad i materijal te odvoz na deponij na udaljenosti do 20 km. </t>
  </si>
  <si>
    <t>S obzirom da je riječ o izrazitoj kosini, volumen je korigirani s faktorom 1,2.</t>
  </si>
  <si>
    <t>Obračun po m' uklonjene kanalice i m³ odveženog materijala</t>
  </si>
  <si>
    <t>1.13.</t>
  </si>
  <si>
    <t>NISKI RUBNI ZID UZ PLATO - ISTOK, uklanjanje i odvoz</t>
  </si>
  <si>
    <t>Rušenje / uklanjanje oštećenog niskog zida uz plato - kamen ili beton obložen kamenom, širine 30-35cm, zajedno s temeljom pretpostavljenih dimenzija 35x80cm.</t>
  </si>
  <si>
    <t>Obračun po m³ uklonjenog zida s temeljem i odveženog materijala</t>
  </si>
  <si>
    <t>1.13.1.</t>
  </si>
  <si>
    <t>ZID UZ ZAPADNI RUB, v= 25-45cm; vis. s temeljem = cca 115cm</t>
  </si>
  <si>
    <t>1.13.2.</t>
  </si>
  <si>
    <t>ZID UZ STUBE, v= 20-40cm; vis. s temeljem = cca 110cm</t>
  </si>
  <si>
    <t xml:space="preserve">Odvoz viška iskopanog materijala na privremeni deponij na gradilištu, kao i na gradski deponij je već obračunat u ranije navedenim stavkama i neće se posebno obračunavati! </t>
  </si>
  <si>
    <t xml:space="preserve">NAPOMENA: Postojeći naboj ili teren na otkopanoj projektiranoj niveleti treba stabilizirati / sabiti kako bi se postigla zadana nosivosti. </t>
  </si>
  <si>
    <r>
      <t xml:space="preserve">Za stavke koje se odnose na radove na izrazitoj kosini (označeno u svakoj stavci) primijenjen je </t>
    </r>
    <r>
      <rPr>
        <b/>
        <sz val="10"/>
        <rFont val="Arial"/>
        <family val="2"/>
      </rPr>
      <t xml:space="preserve">korektivni faktor količina 1,2 </t>
    </r>
    <r>
      <rPr>
        <sz val="10"/>
        <rFont val="Arial"/>
        <family val="2"/>
      </rPr>
      <t>u odnosu na dimenzije u ortogonalnoj projekciji.</t>
    </r>
  </si>
  <si>
    <t>STROJNO - RUČNI ISKOP / STAZE</t>
  </si>
  <si>
    <t>Strojno-ručni iskop terena bez obzira na kategoriju terena i neovisno o dubini iskopa. Dubina, širina iskopa i pokos stranica rova prema uzdužnom profilu i detaljima. Uključeno razupiranje za zaštitu od obrušavanja, sa svim potrebnim radom i materijalom te crpljenje površinske vode. Dno iskopa isplanirati s točnošću +/- 2 cm (eventualna udubljenja ispuniti kamenom sitneži krupnoće zrna do 8 mm i strojno nabiti). Pažljivi ručni iskop oko postojećih instalacija!</t>
  </si>
  <si>
    <t>U količinama je izražena razlika iskopa u odnosu na količine već obračunate u stavkama uklanjanja (Pripremni radovi).</t>
  </si>
  <si>
    <t>Obračun po m³ iskopanog materijala u sraslom stanju s odvozom.</t>
  </si>
  <si>
    <t xml:space="preserve"> - RONDEL - ZAPAD - razlika dubine = 15cm</t>
  </si>
  <si>
    <t xml:space="preserve"> - RONDEL / rubna greda - ZAPAD - razlika dubine = 35cm</t>
  </si>
  <si>
    <t xml:space="preserve"> - STAZE - ZAPAD; dubina = 45cm</t>
  </si>
  <si>
    <t xml:space="preserve"> - STAZE / rubna greda - ZAPAD; razlika dubine = 30cm </t>
  </si>
  <si>
    <t xml:space="preserve"> - ZAŠTITA PROČELJA - ZAPAD; dubina = 45cm </t>
  </si>
  <si>
    <t xml:space="preserve"> - ZAŠTITA PROČELJA - ISTOK; dubina = 15cm</t>
  </si>
  <si>
    <t xml:space="preserve"> - STAZE / korekcija konture - ISTOK; dubina = 30cm, faktor=1,2</t>
  </si>
  <si>
    <t xml:space="preserve"> - STAZE / pragovi - ISTOK; razlika dubine = 15cm</t>
  </si>
  <si>
    <t xml:space="preserve"> - STAZA / stepping stones - ISTOK; dubina = 30cm</t>
  </si>
  <si>
    <t xml:space="preserve"> - SJEVERNI PLATO - ISTOK; dubina = 30cm</t>
  </si>
  <si>
    <t>ISKOP i ODVOZ - ukupno</t>
  </si>
  <si>
    <t>STROJNO - RUČNI ISKOP / TEMELJI</t>
  </si>
  <si>
    <t>Sve kao st. 2.1., samo iskop za temelje potpornih zidova, širine 60cm, prosječne visine 125cm.</t>
  </si>
  <si>
    <t xml:space="preserve"> - sjeverni potporni zid /staza - ISTOK</t>
  </si>
  <si>
    <t xml:space="preserve"> - sjeverni potporni zid / stube - ISTOK</t>
  </si>
  <si>
    <t xml:space="preserve"> - južni potporni zid / staza - ISTOK</t>
  </si>
  <si>
    <t xml:space="preserve"> - središnji dio potpornog zida uz plato - ISTOK</t>
  </si>
  <si>
    <t>RUČNI ISKOP / TEMELJI RASVJETE i STUPIĆA S UTIČNICAMA</t>
  </si>
  <si>
    <t>Ručni iskop rova na svim mjestima gdje nije moguće iskop izvesti strojno, bez obzira na kategoriju terena, širinu i dubinu iskopa, ostalo sve kao st. 2.1.</t>
  </si>
  <si>
    <t>Obračun po m³ iskopanog materijala u sraslom stanju.</t>
  </si>
  <si>
    <t xml:space="preserve"> - temelji rasvjete 30x30x30cm - 24 kom - ISTOK</t>
  </si>
  <si>
    <t xml:space="preserve"> - temelji stupića s utičnicama 30x30x30cm - 4 kom - ISTOK</t>
  </si>
  <si>
    <t>NOSIVI SLOJ - KAMEN 0/32 mm - Ms≥50 MN/m2</t>
  </si>
  <si>
    <t>Izrada nosivog sloja (Ms≥50 MN/m2) od drobljenog kamenog materijala, granulacije 0/32 mm, debljine 15-30 cm.  U cijenu je uključena dobava materijala, utovar, prijevoz, i ugradnja (strojno razastiranje, planiranje i zbijanje do traženog modula stišljivosti ili stupnja zbijenosti) na uređenu i preuzetu podlogu.</t>
  </si>
  <si>
    <t xml:space="preserve">Obračun je po m3 ugrađenog materijala u zbijenom stanju. Izvedba, kontrola kakvoće i obračun prema OTU 5-01. </t>
  </si>
  <si>
    <t xml:space="preserve"> - RONDEL - ZAPAD (granitne kocke) d= 30cm</t>
  </si>
  <si>
    <t xml:space="preserve"> - STAZE - ZAPAD (prani kulir); d= 20cm</t>
  </si>
  <si>
    <t xml:space="preserve"> - ZAŠTITA PROČELJA - ZAPAD (granitne kocke); d= 15cm </t>
  </si>
  <si>
    <t xml:space="preserve"> - STAZE - ISTOK (stabilizer, nagib &lt; 6%); d= 15cm</t>
  </si>
  <si>
    <t xml:space="preserve"> - STAZE - ISTOK (stabilizer, nagib &gt; 6%); d= 15cm, faktor=1,2</t>
  </si>
  <si>
    <t xml:space="preserve"> - STAZA / stepping stones (stabilizer) - ISTOK; d= 15cm</t>
  </si>
  <si>
    <t xml:space="preserve"> - SJEVERNI PLATO - ISTOK (stabilizer); dubina = 15cm</t>
  </si>
  <si>
    <t xml:space="preserve"> - ISTOČNI PLATO - ISTOK (stabilizer); dubina = 15cm</t>
  </si>
  <si>
    <t>NOSIVI SLOJ - ukupno</t>
  </si>
  <si>
    <t>2.6.</t>
  </si>
  <si>
    <t>PROVLAČNE CIJEVI ZA IZVEDBU NAVODNJAVANJA</t>
  </si>
  <si>
    <t>Izvode se istovremene s izvedbom vodoopskrbne instalacije kao podzemna veza svih ozelenjenih ploha za svaki segment navodnjavnja za naknadnu izvedbu instalacije navodnjavanja..</t>
  </si>
  <si>
    <t>Navodnjavanje obrađeno u posebnoj glavi troškovnika:</t>
  </si>
  <si>
    <t>13. NAVODNJAVANJE</t>
  </si>
  <si>
    <t>Dobava i ugradnja u nosivi sloj šljunka (ili unutar konstrukcije građenih dijelova) provlačnih PE ili PVC cijevi ø110 mm za potrebe izvedbe navodnjavanja. Svaku cijev na početku i na kraju začepiti adekvatnim pokolopcem do izvedbe navodnjavanja. Obračun je po m' izvedene provlačne cijevi.</t>
  </si>
  <si>
    <t xml:space="preserve"> - ZAPAD</t>
  </si>
  <si>
    <t xml:space="preserve"> - ISTOK</t>
  </si>
  <si>
    <t>ukupno</t>
  </si>
  <si>
    <t>2.7.</t>
  </si>
  <si>
    <t>DRENAŽA</t>
  </si>
  <si>
    <t>Dobava svog potrebnog materijala i izvedba drenaže novih potpornih zidova.</t>
  </si>
  <si>
    <r>
      <t>Nabava i postava mehanički povezanog, netkanog, polipropilenskog  geotekstila za omatanje drenažnog sustava min. gustoće 300 gr/m</t>
    </r>
    <r>
      <rPr>
        <sz val="10"/>
        <rFont val="Calibri"/>
        <family val="2"/>
      </rPr>
      <t xml:space="preserve">² i </t>
    </r>
    <r>
      <rPr>
        <sz val="10"/>
        <rFont val="Arial"/>
        <family val="2"/>
      </rPr>
      <t>min. deklariranog životnog vijeka trajanja u normalnim pH uvjetima tla 100 god.</t>
    </r>
  </si>
  <si>
    <t>Preklopi na spojevima geotekstila moraju biti minimalno 30cm do 50cm - u cilju sprečavanja otvaranja spojeva geotekstila i upadanja nasipnog materijala u sustav tokom i nakon zasipanja.</t>
  </si>
  <si>
    <t>Postavlja se prije nasipanja drenažnog sloja te uzdiže i provizorno pričvršćuje uz bočne zidove podzemnog dijela potpornog zida u punoj visini - cca 75cm.</t>
  </si>
  <si>
    <t>Drenažna cijev ø110 polaže se u vrh temelja / iznad projektiranog nivoa  staze u vodonepropusni sloj gline i zasipa nasipom krupnog kamenog agregata (visine cca 75 cm), sve omotano geotekstilom.</t>
  </si>
  <si>
    <t>Drenažnu cijev spojiti koljenom, uključivo tipska rešetka, na mjestu odvodne kanalice.</t>
  </si>
  <si>
    <t>Obračun je po m' izvedene drenaže, drenažne cijevi i naboja gline.</t>
  </si>
  <si>
    <t>ZAVOJITA TLOCRTNA KONTURA</t>
  </si>
  <si>
    <t>RAVNA TLOCRTNA KONTURA</t>
  </si>
  <si>
    <t>BETONSKI I ARMIRANO BETONSKI RADOVI</t>
  </si>
  <si>
    <t>NAPOMENA: U cijenu svake stavke uključiti svu potrebnu oplatu!</t>
  </si>
  <si>
    <t>Prije betonskih i armirano betonskih radova izvesti sve potrebne podzemne instalacije, uključivo ugraditi provlačne cijevi za instalaciju navodnjavnja nasada - sve prema projektu instalacija, projektu navodnjavanja i detaljnom nacrtu krajobraznog uređenja.</t>
  </si>
  <si>
    <t>Prije betoniranja ugraditi u oplatu sav potreban ugradni pribor za rasvjetu i sve potrebne bužire za elektroinstalcije.</t>
  </si>
  <si>
    <t>Armiranje svih elemenata se izvodi kao konstruktivno - eventualno potrebna statička kontrola i izrada nacrta armature je obveza izvođača i uključena je u cijenu svake stavke.</t>
  </si>
  <si>
    <t>Za dijelove stavki koji se izvode na kosini &gt; 9%, dužinske, površinske i volumne količine su korigirane s faktorom 1,2.</t>
  </si>
  <si>
    <t>3.1.</t>
  </si>
  <si>
    <t xml:space="preserve">PODLOŽNI BETON C25/30 </t>
  </si>
  <si>
    <t>Dobava, doprema i ugradnja betona razreda tlačne čvrstoće C25/30 te izrada betonske posteljice  u debljini od 5-20cm.</t>
  </si>
  <si>
    <t>Obračun po m³ utrošenog betona.</t>
  </si>
  <si>
    <t>3.1.1.</t>
  </si>
  <si>
    <t>DEBLJINA = 5cm</t>
  </si>
  <si>
    <t>Izvodi se kao podloga za betoniranje A.B. ploča, stuba na terenu, rubnih greda i temelja.</t>
  </si>
  <si>
    <t xml:space="preserve"> - RONDEL - ZAPAD (prani kulir)</t>
  </si>
  <si>
    <t xml:space="preserve"> - STAZE - ZAPAD (prani kulir)</t>
  </si>
  <si>
    <t xml:space="preserve"> - STAZE / poprečne kanalice - ISTOK</t>
  </si>
  <si>
    <t xml:space="preserve"> - STUBE - ISTOK</t>
  </si>
  <si>
    <t xml:space="preserve"> - KANALICA / OBLUTCI - uz post. centralni potporni zid</t>
  </si>
  <si>
    <t xml:space="preserve"> - TEMELJ - sjeverni potporni zid /staza - ISTOK</t>
  </si>
  <si>
    <t xml:space="preserve"> - TEMELJ - sjeverni potporni zid / stube - ISTOK</t>
  </si>
  <si>
    <t xml:space="preserve"> - TEMELJ - južni potporni zid / staza - ISTOK</t>
  </si>
  <si>
    <t xml:space="preserve"> - TEMELJ - središnji dio potpornog zida uz plato - ISTOK</t>
  </si>
  <si>
    <t>BETON:</t>
  </si>
  <si>
    <t>3.1.2.</t>
  </si>
  <si>
    <t>DEBLJINA = 15cm, 30x(130-250)cm</t>
  </si>
  <si>
    <t>Izvodi se kao podloga za izvedbu pragova / stuba od ukrasnog betona.</t>
  </si>
  <si>
    <t xml:space="preserve"> - STAZE / pragovi (22 kom) - ISTOK </t>
  </si>
  <si>
    <t>3.1.3.</t>
  </si>
  <si>
    <t>DEBLJINA = 20cm, 30x30cm</t>
  </si>
  <si>
    <t>Temelji / podloga za podnu rasvjetu u stabilizeru i na travnjaku, kao i za stupiće s utičnicama.</t>
  </si>
  <si>
    <t>Nakon montaže kučišta rasvjete i napojnih kablova, na njih se montira POKROVNA PLOČA 30x30x10cm od ukrasnog betona na koju se učvršćuju rasvjeta i stupići.</t>
  </si>
  <si>
    <t xml:space="preserve"> - STAZE / podloga za podnu rasvjetu u stabilizeru- ISTOK</t>
  </si>
  <si>
    <t xml:space="preserve"> - STAZE / podloga za podnu rasvjetu u travnjaku - ISTOK</t>
  </si>
  <si>
    <t xml:space="preserve"> - STAZE / podloga za stupiće s utičnicama - ISTOK</t>
  </si>
  <si>
    <t>3.2.</t>
  </si>
  <si>
    <t xml:space="preserve"> A.B. TEMELJ POTPORNIH ZIDOVA, C25/30 - 60x70cm</t>
  </si>
  <si>
    <t>U cijenu svake stavke uključiti svu potrebnu oplatu!</t>
  </si>
  <si>
    <t>Dobava, doprema i ugradnja betona razreda tlačne čvrstoće C25/30 za temelje potpornih zidova.</t>
  </si>
  <si>
    <t>Uključena je armatura (čelik B500B) s količinom od 90 kg armature za 1 m³ betona.</t>
  </si>
  <si>
    <t>Obračun po  m³  utrošenog betona. Sve kompletno s izradom, montažom i demontažom oplate.</t>
  </si>
  <si>
    <t>3.2.1.</t>
  </si>
  <si>
    <t>ARMATURA (90 kg /1 m³)</t>
  </si>
  <si>
    <t>3.2.2.</t>
  </si>
  <si>
    <t>3.3.</t>
  </si>
  <si>
    <t xml:space="preserve"> A.B. RUBNA GREDA, C25/30 - 30x45cm</t>
  </si>
  <si>
    <t>Dobava, doprema i ugradnja betona razreda tlačne čvrstoće C25/30 za rubne grede podloge opločenja i stuba na terenu  / zavojita tlocrtna kontura!</t>
  </si>
  <si>
    <t>Uključena je armatura (čelik B500B) s količinom od 100 kg armature za 1 m³ betona.</t>
  </si>
  <si>
    <t>3.3.1.</t>
  </si>
  <si>
    <t xml:space="preserve"> - RONDEL / RUBNA GREDA - ZAPAD (prani kulir)</t>
  </si>
  <si>
    <t xml:space="preserve"> - STUBE / RUBNA GEDA - ISTOK</t>
  </si>
  <si>
    <t>ARMATURA (100 kg /1 m³)</t>
  </si>
  <si>
    <t>3.3.2.</t>
  </si>
  <si>
    <t xml:space="preserve"> - STAZE / RUBNA GEDA - ZAPAD (prani kulir)</t>
  </si>
  <si>
    <t>3.4.</t>
  </si>
  <si>
    <t xml:space="preserve">ARMIRANOBETONSKA PODLOGA OPLOČENJA, C25/30, d=15cm </t>
  </si>
  <si>
    <t>Dobava, doprema i ugradnja betona čvrstoće C25/30 za izvedbu A.B. podloge opločenja, deb. 15 cm, na nosivim zbijenim slojevima šljunka. Uključivo dobava i ugradnja konstruktivne armature od mreža Q 283, propisani minimalni preklop 40 cm te postava podložne PVC folije, kao i dobava, doprema, postava i demontaža potrebne rubne oplate. Stavka obuhvaća sva potrebna sredstva, materijal i rad.</t>
  </si>
  <si>
    <t>Prije izvedbe ploče ugraditi elemente odvodnje, sve podzemne instalacije i provlačne cijevi za navodnjavanje, kao i eventualno potrebnu ugradnu opremu!</t>
  </si>
  <si>
    <t>Ploču izvesti U PADOVIMA prema izvedbenom projektu / detaljnom nacrtu opločenja i statičkom proračunu.</t>
  </si>
  <si>
    <t>Obračun po m³ ugrađenog betona, po m² ugrađene PVC folije i kg armature</t>
  </si>
  <si>
    <t xml:space="preserve"> - STAZE - ZAPAD (prani kulir); d= 15cm</t>
  </si>
  <si>
    <t>BETON</t>
  </si>
  <si>
    <t>PVC folija</t>
  </si>
  <si>
    <t>m²</t>
  </si>
  <si>
    <t>ARMATURNA MREŽA Q 283 (65kg / 1m³)</t>
  </si>
  <si>
    <t>3.5.</t>
  </si>
  <si>
    <t>UKRASNI A.B., C25/30 - VIDLJIVI KRAJOBRAZNI ELEMENTI / bijeli cement + pigment + birani agregat / štokanje! - ISTOK</t>
  </si>
  <si>
    <t>U cijenu svake stavke uključiti svu potrebnu glatku oplatu!</t>
  </si>
  <si>
    <t>Dobava, doprema i ugradnja s vibriranjem UKRASNOG betona (s dodatkom za vodonepropusnost) razreda tlačne čvrstoće C25/30 sa bijelim cementom uz dodatak pigmenta, od drobljenog sivog i bijelog agregata maksimalnog zrna 8 mm. Beton se integralno hidrofobira dodavanjem specijalnog dodatka za postizanje svojstava hidrofobnosti, a nakon finalne obrade i impregnira. Uključivo glatka bešavna oplata (naročitu pažnju posvetiti izradi oplate segmentnih lučnih ploha!), kao i sva potrebna upuštanja za ugradnju rasvjete - sve prema detaljnom nacrtu i dogovoru s projektantom.</t>
  </si>
  <si>
    <t>Sve kompletno s izradom, montažom i demontažom oplate. Uključena je armatura (čelik B500B) s količinom od 100 kg armature / 1 m³ betona i dodatak makrosintetičkih vlakana 4kg / 1 m³ betona.</t>
  </si>
  <si>
    <t>Finalna obrada vidljivih dijelova štokanjem.</t>
  </si>
  <si>
    <t>Sve prema detaljnom nacrtu!</t>
  </si>
  <si>
    <t>Obavezna izrada uzoraka. Ton, struktura i obrada  - odabir od strane projektanta uz suglasnost nadležnog konzervatora.</t>
  </si>
  <si>
    <r>
      <t xml:space="preserve">NAPOMENA: </t>
    </r>
    <r>
      <rPr>
        <u/>
        <sz val="10"/>
        <rFont val="Arial"/>
        <family val="2"/>
      </rPr>
      <t>prije betoniranja postaviti elemente ugradne i nadgradne rasvjete te pripremu za odgovarajuću elektroinstalaciju - koordinacija s dobavljačem opreme i izvođačem instalacije!</t>
    </r>
  </si>
  <si>
    <t>Obračun po m³ ugrađenog betona, po kg armature i m² štokanja.</t>
  </si>
  <si>
    <t>3.5.1.</t>
  </si>
  <si>
    <t>POTPORNI ZID, ZAVOJITI, BEZ VERTIKALNE PROFILACIJE, d= 25cm, prosj.visna zida= 105cm, prosj.vis. štokanja= 75cm. Vidi detalj!</t>
  </si>
  <si>
    <r>
      <t xml:space="preserve">Uključivo izvedba procijednih cijevi drenaže od PVC cijevi </t>
    </r>
    <r>
      <rPr>
        <sz val="10"/>
        <rFont val="Calibri"/>
        <family val="2"/>
      </rPr>
      <t>ø50 mm, na svakih 1m'.</t>
    </r>
  </si>
  <si>
    <t>ARMATURA (100kg / 1m³)</t>
  </si>
  <si>
    <t>ŠTOKANJE</t>
  </si>
  <si>
    <t>3.5.2.</t>
  </si>
  <si>
    <t>POTPORNI ZID, RAVNI, S VERTIKAL. PROFILACIJOM, d= 25+5cm, prosj.visna zida= 75cm, prosj.vis. štokanja= 45cm. Vidi detalj!</t>
  </si>
  <si>
    <t>3.5.3.</t>
  </si>
  <si>
    <t>ZAVOJITE STUBE NA TERENU (bet.podlozi), d=15cm + stuba. Vidi detalj!</t>
  </si>
  <si>
    <t xml:space="preserve"> - STUBE - ISTOK, faktor=1,2</t>
  </si>
  <si>
    <t>3.5.4.</t>
  </si>
  <si>
    <t>RAVNA KANALICA S LUČNOM PROFILACIJOM, 30x20cm, štokanje gornje plohe. Vidi detalj!</t>
  </si>
  <si>
    <t>Alternativno: izvodi se u kalupu i montira u sloj suhog morta.</t>
  </si>
  <si>
    <t xml:space="preserve"> - sjeverna kanalica - ISTOK / štokanje gornje plohe</t>
  </si>
  <si>
    <t xml:space="preserve"> - južna kanalica - ISTOK / štokanje gornje i jedne čeone plohe</t>
  </si>
  <si>
    <t>ARMATURA (65kg / 1m³)</t>
  </si>
  <si>
    <t>3.5.5.</t>
  </si>
  <si>
    <t>RAVNI PRAG / STUBA 30x25x(130-250)cm, štokanje gornje plohe te jedne frontalne i jedne čeone plohe. Vidi detalj!</t>
  </si>
  <si>
    <t>RAVNI PRAG se zvodi se s poprečnim zakošenjem (3cm).</t>
  </si>
  <si>
    <t>Na jednom kraju praga poprečno se izvodi lučna profilacija 30x16x2cm (kanalica), a na drugom ušteda za montažu podne svjetiljke 30x30x10cm.</t>
  </si>
  <si>
    <t>Nakon montaže kučišta svjetiljke, na mjestu uštede se postavlja ranije izvedena pokrovna ploča.</t>
  </si>
  <si>
    <t>Alternativno: sve se izvodi u kalupu i montira u cementni mort ili građevinsko ljepilo.</t>
  </si>
  <si>
    <t xml:space="preserve"> - STAZE / pragovi / sjeverna staza (12kom) - ISTOK</t>
  </si>
  <si>
    <t xml:space="preserve"> - STAZE / pragovi / južna staza (10kom) - ISTOK</t>
  </si>
  <si>
    <t>3.5.6.</t>
  </si>
  <si>
    <t>POKROVNA PLOČA, 30x30x10cm, izvodi se u kalupu i finalizira štokanjem. Postava u bijeli / kolorirani cementni mort.</t>
  </si>
  <si>
    <t>Štokanje gornje plohe i sve 4 bočne plohe. Vidi detalj!</t>
  </si>
  <si>
    <t xml:space="preserve"> - POKROVNA PLOČA, 30x30x10cm s centralno izvedenom okruglom rupom ø90mm / podna rasvjeta na pragovima - ISTOK</t>
  </si>
  <si>
    <t xml:space="preserve"> - POKROVNA PLOČA, 30x30x10cm s centralno izvedenom okruglom rupom ø90mm / podna rasvjeta u stabilizeru - ISTOK</t>
  </si>
  <si>
    <t xml:space="preserve"> - POKROVNA PLOČA, 30x30x10cm bez rupe / rasvjeta - reflektori u travi - ISTOK</t>
  </si>
  <si>
    <t xml:space="preserve"> - POKROVNA PLOČA, 30x30x10cm bez rupe / rasvjeta - stupići s utičnicama - ISTOK</t>
  </si>
  <si>
    <t>3.5.7.</t>
  </si>
  <si>
    <t>KANALICA / OBLUTCI U MORTU, 20x20cm (uz post. centralni potporni zid)</t>
  </si>
  <si>
    <t>Birani polikromni oblutci granulacije 8-32mm raspoređuju se na podlogu od UKRASNOG BETONA C25/30, debljine cca 20cm, uz lokalno nabijanje te uz zalijevanje cementnim mortom od bijelog cementa uz dodatak pigmenta i od oštrog kvarcnog pijeska ø2-4 mm, na način da se formira segmentna kanalica sa središnjim upuštenjem cca 2cm i uzdužnim padom.</t>
  </si>
  <si>
    <t>Nakon početnog stvrdnjavanja morta, četkom se uklanjanjaju viškovi morta na način da ostane vidljivo cca 1/3  presjeka oblutaka (kao prani kulir). Nakon potpunog sušenja površina se finalizira bezbojnom impregnacijom s mokrim efektom.</t>
  </si>
  <si>
    <t>Alternativno: sve se izvodi u segmentima u kalupu i montira u cementni mort ili građevinsko ljepilo.</t>
  </si>
  <si>
    <t>Obračun po m³ ugrađenog betona, po kg armature i m² finalne obrade</t>
  </si>
  <si>
    <t>S obzirom da je riječ o izrazitoj kosini, dužina i volumen su korigirani s faktorom 1,2.</t>
  </si>
  <si>
    <t>FINALNA OBRADA (kao prani kulir)</t>
  </si>
  <si>
    <t>OPLOČENJE</t>
  </si>
  <si>
    <t>4.1.</t>
  </si>
  <si>
    <r>
      <rPr>
        <i/>
        <sz val="10"/>
        <rFont val="Arial"/>
        <family val="2"/>
      </rPr>
      <t>STABILIZER</t>
    </r>
    <r>
      <rPr>
        <sz val="10"/>
        <rFont val="Arial"/>
        <family val="2"/>
      </rPr>
      <t xml:space="preserve"> - nosivost 50 kN, deb. 6cm - STAZE I PLATOI -ISTOK</t>
    </r>
  </si>
  <si>
    <t>Vezivo je 100% prirodnog podrijetla, organski prah od tropskih biljaka (Psyllium sp., bez aditiva ili komponenti kemijskog podrijetla), u skladu sa profilom za staze i javne površine od kamenog drobljenca.</t>
  </si>
  <si>
    <t>Odabir boje agregata prema izboru projektanta uz odobrenje konzervatora</t>
  </si>
  <si>
    <t xml:space="preserve">Frakcija agregata:   0-8 mm ( prema recepturi )   </t>
  </si>
  <si>
    <t xml:space="preserve">Udio finih čestica &lt;0,063 mm:   15-20 % </t>
  </si>
  <si>
    <t>Proctorova gustoća:   2,128 g/cm3</t>
  </si>
  <si>
    <t>Čvrstoća gornje površine:  108,6 kN/m²</t>
  </si>
  <si>
    <t>Optim. udio vode ( WPR ):  11,7%</t>
  </si>
  <si>
    <t xml:space="preserve">Debljina sloja u zbijenom stanju: 6 cm </t>
  </si>
  <si>
    <r>
      <t xml:space="preserve">Izvodi se na prethodno stabiliziranoj posteljici i tamponu na izravnavajući sloj 3-5cm, granulacije prema uputstvima proizvođača. </t>
    </r>
    <r>
      <rPr>
        <u/>
        <sz val="10"/>
        <rFont val="Arial"/>
        <family val="2"/>
      </rPr>
      <t xml:space="preserve"> Prije izvedbe obavezna kontrola zbijenosti podloge!</t>
    </r>
  </si>
  <si>
    <t xml:space="preserve">Miješanje se izvodi u betonari, a prijevoz do gradilišta se vrši kamionom (ne mikserom). </t>
  </si>
  <si>
    <t>Ugradnja se može izvesti ručno ili finišerom, između rubnjaka, betonskih pragova i kanalica, u skladu sa projektom uključujući jednostruko zalijevanje cijele površine finim mlazom. Zbijanje površine izvodi se valjanjem (bez vibracije ) u polusuhom stanju. Težina valjka 1 – 3 tone. Izvoditi samo za stabilnog i suhog vremena. Minimalna temperatura za izvođenje je 5°C. Sastav agregata 0-8 mm mora odgovarati propisanoj granulometrijskoj krivulji.</t>
  </si>
  <si>
    <t>Sve površine nosivog i završnog sloja moraju biti ugrađene s padom u skladu s normom za vezane vodopropusne površine.</t>
  </si>
  <si>
    <r>
      <t>Na nosivi sloj se, na cijeloj površini, postavlja</t>
    </r>
    <r>
      <rPr>
        <b/>
        <sz val="10"/>
        <rFont val="Arial"/>
        <family val="2"/>
      </rPr>
      <t xml:space="preserve"> geotekstil / protukorovna folija</t>
    </r>
    <r>
      <rPr>
        <sz val="10"/>
        <rFont val="Arial"/>
        <family val="2"/>
      </rPr>
      <t>, uključiti u cijenu stavke!</t>
    </r>
  </si>
  <si>
    <r>
      <t xml:space="preserve">U stavku također ulazi i </t>
    </r>
    <r>
      <rPr>
        <b/>
        <sz val="10"/>
        <rFont val="Arial"/>
        <family val="2"/>
      </rPr>
      <t>podložni sloj drobljenog pijeska, debljine 3-5cm</t>
    </r>
    <r>
      <rPr>
        <sz val="10"/>
        <rFont val="Arial"/>
        <family val="2"/>
      </rPr>
      <t>, te sav popratni materijal i rad za dovršenje stavke.</t>
    </r>
  </si>
  <si>
    <t>Posebnu pažnju posvetiti izvedbi projektiranih padova!</t>
  </si>
  <si>
    <r>
      <t xml:space="preserve">Obračun po m² završnog sloja </t>
    </r>
    <r>
      <rPr>
        <i/>
        <sz val="10"/>
        <rFont val="Arial"/>
        <family val="2"/>
      </rPr>
      <t>Stabilizera</t>
    </r>
    <r>
      <rPr>
        <sz val="10"/>
        <rFont val="Arial"/>
        <family val="2"/>
      </rPr>
      <t xml:space="preserve">. </t>
    </r>
  </si>
  <si>
    <t>4.1.1.</t>
  </si>
  <si>
    <t>STABILIZER, d=6cm, nagib &lt; 6% / STAZE I PLATOI</t>
  </si>
  <si>
    <t>4.1.2.</t>
  </si>
  <si>
    <t>STABILIZER, d=6cm, nagib &gt; 6% / STAZE</t>
  </si>
  <si>
    <t>4.2.</t>
  </si>
  <si>
    <t>GRANITNE KOCKE, 10x10x10cm, 4x rezano, 2x lomljeno; postava u pijesak, fugiranje pijeskom - ZAPAD</t>
  </si>
  <si>
    <t>Nabava, doprema i ugradnja svog potrebnog materijala za izvedbu opločenja granitnim kockama. Polikromne granitne kocke postavljaju se na prethodno izvedenom nosivom sloju u sloj od drobljenog pijeska, debljine 3-5cm, granulacije 2-4 mm. Fugiranje pijeskom 0-3 mm.</t>
  </si>
  <si>
    <t>Uključivo ugradnja u okvir poklopaca instalacionih okana!</t>
  </si>
  <si>
    <t>Kocke po izboru  projektanta, uz odobrenje konzervatora.</t>
  </si>
  <si>
    <t xml:space="preserve">Obračun po m² opločnika. </t>
  </si>
  <si>
    <t>4.2.1.</t>
  </si>
  <si>
    <t>OPLOČENJE RONDELA - radijalna postava</t>
  </si>
  <si>
    <t>4.2.2.</t>
  </si>
  <si>
    <t>ZAŠTITA PROČELJA - postava fuga na fugu</t>
  </si>
  <si>
    <t>4.3.</t>
  </si>
  <si>
    <t>PRANI KULIR, d=4,5cm - ZAPAD</t>
  </si>
  <si>
    <t xml:space="preserve">Nabava, doprema i ugradnja svog potrebnog materijala za oblaganje armirano betonske podloge kulir smjesom od odabranog agregata s bijelim cementom i dodanim pigmentom, debljine 4,5 cm, s ispiranjem površine - prani kulir. </t>
  </si>
  <si>
    <t>Kulir smjesa se spravlja od odabrane mješavine mramornih ili granitnih zrnaca - prirodnog drobljenog kamenog agregata krupnoće zrna 3-10 mm, kamenog brašna i bijelog cementa s dodatkom pigmenta, te uz dodatak makrosintetičkih vlakana 4kg / 1 m³ smjese.</t>
  </si>
  <si>
    <t>Sve prema zadanoj recepturi i izrađenom uzorku odobrenom od projektanta i nadležnog konzervatora.</t>
  </si>
  <si>
    <t>Obrada površine ispiranjem zidarskim četkama vrši se prije dovršetka vezanja cementa tako da zrnca agregata ne izlaze više od 1/3 svoje dimenzije iz ravnine.</t>
  </si>
  <si>
    <t>Obrađene površine kulira potrebno je tokom 48 sati stalno blago močiti vodom.</t>
  </si>
  <si>
    <t>Stavka obuhvaća pripremu podloge, nanošenje smjese, te ispiranje površina četkama. Oblogu izvesti s potrebnim dilatacijskim reškama  koje su sastavni dio stavke, sve prema detaljnom nacrtu i dogovoru s projektantom.</t>
  </si>
  <si>
    <t>U cijenu stavke je uključena i dobava i ugradnja tipskih dilatacija od aluminijskih traka deb. 3mm - sve prema detaljnom nacrtu.</t>
  </si>
  <si>
    <t>Uključivo izrada uzoraka vel, 1x1m za odabir mešavine drobljenog zrna (boje i udjela) te boje dodatnog pigmenta za cement - sve prema dogovoru s projektantom i uz odobrenje konzervatorske službe.</t>
  </si>
  <si>
    <t>Stavka obuhvaća sva potrebna sredstva, materijal i rad.</t>
  </si>
  <si>
    <t>Obračun po m² izvedenog pranog kulira.</t>
  </si>
  <si>
    <t>4.4.</t>
  </si>
  <si>
    <t>RUBNJAK - Cor-ten® A - TRAKA 5x150 mm</t>
  </si>
  <si>
    <t>(čelična legura bakra, kroma, nikla i fosfora)</t>
  </si>
  <si>
    <t>Dobava i postava trake od Cor-ten® A, debljine 5 mm i širine 150 mm pomoću tipskih klinova od kortena (1klin/1m', a na krivuljama 1klin/0,5m'). Uključivo sva potrebna savijanja na kružnim konturama.</t>
  </si>
  <si>
    <t>Po potrebi klin lokalno fiskirati betonom.</t>
  </si>
  <si>
    <t>Traka se postavlja kao graničnik između dvije vrste materijala: granitne kocke-travnjak.</t>
  </si>
  <si>
    <r>
      <t xml:space="preserve">Uključivo formiranje okvira za jedinične površine </t>
    </r>
    <r>
      <rPr>
        <i/>
        <sz val="10"/>
        <rFont val="Arial"/>
        <family val="2"/>
      </rPr>
      <t>stepping stones</t>
    </r>
    <r>
      <rPr>
        <sz val="10"/>
        <rFont val="Arial"/>
        <family val="2"/>
      </rPr>
      <t xml:space="preserve">-a. </t>
    </r>
  </si>
  <si>
    <t>Obračun po m' ugrađene trake.</t>
  </si>
  <si>
    <t>ISTOK - zelene površine:</t>
  </si>
  <si>
    <t xml:space="preserve"> - rondel</t>
  </si>
  <si>
    <t xml:space="preserve"> - sjeverozapad</t>
  </si>
  <si>
    <t xml:space="preserve"> - sjever</t>
  </si>
  <si>
    <t xml:space="preserve"> - sjeveroistok</t>
  </si>
  <si>
    <t xml:space="preserve"> - jugoistok</t>
  </si>
  <si>
    <t xml:space="preserve"> - jug</t>
  </si>
  <si>
    <t>ISTOK - razdjelnica kulir / kocke:</t>
  </si>
  <si>
    <t>ZAPAD - zaštita pročelja, staze i platoi:</t>
  </si>
  <si>
    <t xml:space="preserve"> - zaštita pročelja</t>
  </si>
  <si>
    <t xml:space="preserve"> - sjeverni plato + stepping stones</t>
  </si>
  <si>
    <t xml:space="preserve"> - sjeverni dio elipse</t>
  </si>
  <si>
    <t xml:space="preserve"> - južni dio elipse</t>
  </si>
  <si>
    <t xml:space="preserve"> - sjeverna staza</t>
  </si>
  <si>
    <t xml:space="preserve"> - južna staza</t>
  </si>
  <si>
    <t xml:space="preserve">ukupno </t>
  </si>
  <si>
    <t>ZIDARSKI RADOVI</t>
  </si>
  <si>
    <t>5.1.</t>
  </si>
  <si>
    <t>POSTOJEĆE STUBE OBLOŽENE GRANITNIM PLOČAMA, pranje i impregniranje - ISTOK</t>
  </si>
  <si>
    <t>Stavka obuhvaća pranje mini-washom uz dodatak deterdženta, eventualni popravak fuga cementnim mortom ili trajno-elastičnim kitom te impregniranje bezbojnim sredstvom za hidrofobiranje (višestruki premaz ili špricanje, do potpunog zasićenja).</t>
  </si>
  <si>
    <t>5.2.</t>
  </si>
  <si>
    <t>ZIDARSKI POPRAVAK POSTOJEĆIH KANALICA UZ SJEVERNI I JUŽNI OGRADNI ZID - pjeskarenje + reparaturni mort + impregnacija - ISTOK</t>
  </si>
  <si>
    <t>Nabava, doprema i ugradnja svog potrebnog materijala za zidarski popravak kanalica od cementnog morta ili od oblutaka u cementnom mortu uz ogradne zidove.</t>
  </si>
  <si>
    <t>Uključivo čišćenje i pjeskarenje površine kanala i slivnih površina uz njega, te zidarski poravak većih oštećenja debeloslojnim polimer-cementnim mortom.</t>
  </si>
  <si>
    <t>Cijena stavke uključuje impregniranje bezbojnim sredstvom za hidrofobiranje - višestruki premaz ili špricanje, do potpunog zasićenja</t>
  </si>
  <si>
    <t>Obračun po m² izvedenog popravka.</t>
  </si>
  <si>
    <t>5.2.1.</t>
  </si>
  <si>
    <t>KANALICA - OBLUTCI U CEMENTOM MORTU</t>
  </si>
  <si>
    <t xml:space="preserve"> - kanalica uz istočni ogradni zid / oblutci u mortu</t>
  </si>
  <si>
    <t>5.2.2.</t>
  </si>
  <si>
    <t>KANALICA - CEMENTI MORT</t>
  </si>
  <si>
    <t>Za kanalice od cementnog morta se predviđa gletanje kompletnog presjeka tankoslojnim polimer-cementnim  reparturnim mortom.</t>
  </si>
  <si>
    <t xml:space="preserve"> - kanalica uz sjeverni ogradni zid, r.š. cca 70cm, faktor= 1,2</t>
  </si>
  <si>
    <t xml:space="preserve"> - kanalica uz južni ogradni zid, r.š. cca 70cm, faktor= 1,2</t>
  </si>
  <si>
    <t>5.3.</t>
  </si>
  <si>
    <t>ZIDARSKI POPRAVAK POSTOJEĆEG ZIDA OBLOŽENOG KAMENOM - pjeskarenje + fugiranje + impregnacija - ISTOK</t>
  </si>
  <si>
    <t>Nabava, doprema i ugradnja svog potrebnog materijala za zidarski popravak zida obloženog kamenom.</t>
  </si>
  <si>
    <t>Uključivo čišćenje i pjeskarenje kamene obloge i kape od ukrasnog betona, te obnova fuga cementnim mortom.</t>
  </si>
  <si>
    <t>5.3.1.</t>
  </si>
  <si>
    <t>POSTOJEĆI CENTRALNI POTPORNI ZIDOVI</t>
  </si>
  <si>
    <t xml:space="preserve"> - sjeverni zid / kapa od dekorativnog betona</t>
  </si>
  <si>
    <t xml:space="preserve"> - sjeverni zid / obloga kamenom, prosj.vis. 60cm</t>
  </si>
  <si>
    <t xml:space="preserve"> - južni zid / kapa od dekorativnog betona</t>
  </si>
  <si>
    <t xml:space="preserve"> - južni zid / obloga kamenom, prosj.vis. 60cm</t>
  </si>
  <si>
    <t>5.3.2.</t>
  </si>
  <si>
    <t>POSTOJEĆI POTPORNI ZIDOVI OBLOŽENI KAMENOM UZ ULIČNE STUBE - pjeskarenje + fugiranje + impregnacija - ISTOK</t>
  </si>
  <si>
    <t>U cijenu stavke uključiti uporabu lake građevinske skele!</t>
  </si>
  <si>
    <t xml:space="preserve"> - južni potporni zid uz stube / kapa od ukrasnog betona</t>
  </si>
  <si>
    <t xml:space="preserve"> - južni potporni zid uz stube / obloga kamenom, v= 4,5m</t>
  </si>
  <si>
    <t xml:space="preserve"> - potporni zidovi platoa / kapa od ukrasnog betona</t>
  </si>
  <si>
    <t xml:space="preserve"> - potporni zidovi platoa / obloga kamenom, prosj.v = 1,1m</t>
  </si>
  <si>
    <t>5.4.</t>
  </si>
  <si>
    <t xml:space="preserve">ZIDARSKI POPRAVAK POSTOJEĆIH STUBA OBLOŽENIH UKRASNIM BETONOM (pomoćni prostor) - pjeskarenje + fugiranje + impregnacija - ISTOK </t>
  </si>
  <si>
    <t>Sve kao prethodna stavka, samo stube obložene ukrasnim betonom.</t>
  </si>
  <si>
    <t>STUBE</t>
  </si>
  <si>
    <t xml:space="preserve"> - nagazne plohe / obloga dekorativnim betonom</t>
  </si>
  <si>
    <t xml:space="preserve"> - čela / obloga dekorativnim betonom</t>
  </si>
  <si>
    <t>5.5.</t>
  </si>
  <si>
    <t>POPRAVAK POSTOJEĆEG JUŽNOG OGRADNOG / POTPORNOG ZIDA / KAMEN, OPEKA, BETONSKE KAPE, ŽBUKANI STUPCI, DRVENA OGRADA - ISTOK</t>
  </si>
  <si>
    <t>Izvedba u suglasnosti s vlasnikom susjedne parcele!</t>
  </si>
  <si>
    <t>Stavka obuhvaća sva potrebna sredstva, materijal i rad, ovisno o primijenjenoj vrsti materijala.</t>
  </si>
  <si>
    <t>5.5.1.</t>
  </si>
  <si>
    <t>DRVENA OGRADA OD LETAVA, prosječne v= cca 1,25 m</t>
  </si>
  <si>
    <t>Između parapetnih stupaca izvedena je jednostavna ograda od crnogoričnog drveta: dvije horizontalne, odnosno kose drvene platice na koje je sa strane palače učvršćena gusta ispuna ograde od vertikalnih letava.</t>
  </si>
  <si>
    <t>Svi drveni elementi ograde su u relativno dobrom stanju.</t>
  </si>
  <si>
    <t>Stolarska demontaža segmenata drvene ograde, pažljivo (!) da se ne ošteti, odvoz u radionicu i popravak (uključeno: ručno ili strojno brušenje, zamjena oštećenih letava - cca 10%, kompletiranje i višestruki nanos debeloslojne lazure) te ponovna doprema na gradilište i montaža nakon završetka zidarskih radova.</t>
  </si>
  <si>
    <t>Uključivo popravak eventualnih manjih oštećenja premaza nastalih tokom transporta i manipulacije.</t>
  </si>
  <si>
    <t>Obračun po komadu demontirane, popravljene i ponovno montirane ograde:</t>
  </si>
  <si>
    <t xml:space="preserve"> - gornje horizontalno polja duž.cca 3,0 m (3,75 m²)</t>
  </si>
  <si>
    <t xml:space="preserve"> - donje horizontalno polje duž.cca 2,75 m (3,45 m²)</t>
  </si>
  <si>
    <t>5.5.2.</t>
  </si>
  <si>
    <t>ZIDANI STUPCI, ŽBUKANI I BOJANI, dim.cca. 60x60x160cm</t>
  </si>
  <si>
    <t>Stavka obuhvaća pranje mini-washom uz dodatak deterdženta, manje popravke tankoslojnim polimer-cementnim  reparturnim mortom, nanos primer sloja i bojanje silikatnom fasadnom bojom u dvije ruke.</t>
  </si>
  <si>
    <t xml:space="preserve"> - 6 stupaca x 1,6x0,6x4 =</t>
  </si>
  <si>
    <t>5.5.3.</t>
  </si>
  <si>
    <t>BETONSKA KAPA ZIDA (70x10 cm) I STUPOVA (70x70x10 cm)</t>
  </si>
  <si>
    <t>Stavka obuhvaća pjeskarenje i zidarski poravak većih oštećenja debeloslojnim polimer-cementnim mortom.</t>
  </si>
  <si>
    <t>Previđeno gletanje kompletnog presjeka tankoslojnim polimer-cem.  reparturnim mortom. i impregniranje bezbojnim sredstvom za hidrofobiranje (višestruki premaz ili špricanje, do potpunog zasićenja).</t>
  </si>
  <si>
    <t xml:space="preserve"> - 6 stupaca</t>
  </si>
  <si>
    <t xml:space="preserve"> - gornje horizontalno polja duž.cca 3,0 m</t>
  </si>
  <si>
    <t xml:space="preserve"> - srednje koso polje duž.cca 3,3 m (faktor 1,2) - 2 kom</t>
  </si>
  <si>
    <t xml:space="preserve"> - donje horizontalno polje duž.cca 2,75 m</t>
  </si>
  <si>
    <t>5.5.4.</t>
  </si>
  <si>
    <t>ZID OD VIDLJIVE OPEKE, prosječne v= cca 1,5 m</t>
  </si>
  <si>
    <t>Stavka obuhvaća pjeskarenje, zidarski popravak zida uz uklanjanje štemanjem oštećenih opeka (do cca 1/3 debljine) te ugradnju novih opeka za cca 30% površine zida, obnovu fuga cementnim mortom i impregniranje bezbojnim sredstvom za hidrofobiranje (višestruki premaz ili špricanje, do potpunog zasićenja).</t>
  </si>
  <si>
    <t>5.5.5.</t>
  </si>
  <si>
    <t>BAZA OD KAMENA, prosječne v= cca 0,6 m</t>
  </si>
  <si>
    <t>Stavka obuhvaća pjeskarenje, obnovu fuga cementnim mortom i impregniranje bezbojnim sredstvom za hidrofobiranje (višestruki premaz ili špricanje, do potpunog zasićenja).</t>
  </si>
  <si>
    <t>5.6.</t>
  </si>
  <si>
    <t>POPRAVAK VIDLJVIH DIJELOVA POSTOJEĆEG SJEVERNOG OGRADNOG / POTPORNOG ZIDA NA SUSJEDNOJ PARCELI / BETONSKE KAPE, ŽBUKANI ZID I STUPCI, DRVENA OGRADA - ISTOK</t>
  </si>
  <si>
    <t>5.6.1.</t>
  </si>
  <si>
    <t>Između parapetnih stupaca bila je izvedena jednostavna ograda od crnogoričnog drveta: dvije horizontalne, odnosno kose drvene platice na koje je sa strane palače učvršćena gusta ispuna ograde od vertikalnih letava - sve kao stavka 5.5.1.</t>
  </si>
  <si>
    <t>Drveni elementi ograde nedostaju - izrada replike!</t>
  </si>
  <si>
    <t>Stolarska izrada replike segmenata drvene ograde / kao st. 5.1.1. (uključeno: izrada, ručno ili strojno brušenje, kompletiranje i višestruki nanos debeloslojne lazure) te doprema na gradilište i montaža nakon završetka zidarskih radova.</t>
  </si>
  <si>
    <t>Obračun po komadu izrađene i montirane ograde:</t>
  </si>
  <si>
    <t>5.6.2.</t>
  </si>
  <si>
    <t>ZID prosječne visine cca 200cm / ZIDANI STUPCI dim.cca. 60x60x160cm, SVE ŽBUKANO I BOJANO</t>
  </si>
  <si>
    <t xml:space="preserve"> - zid</t>
  </si>
  <si>
    <t>5.6.3.</t>
  </si>
  <si>
    <t>5.7.</t>
  </si>
  <si>
    <t>SANACIJA I REKONSTRUKCIJA FONTANE</t>
  </si>
  <si>
    <t>Izvodi se nakon izvršenog servisa i prilagodbe pogona fontane (opisano u poglavlju "Oprema").</t>
  </si>
  <si>
    <t>5.7.1.</t>
  </si>
  <si>
    <t>ZIDARSKA SANACIJA BAZENA FONTANE</t>
  </si>
  <si>
    <t>Nabava, doprema i ugradnja svog potrebnog materijala za zidarski popravak betonske školjke fontane.</t>
  </si>
  <si>
    <t>Čišćenje i pjeskarenje unutarnJe i vanjske površine bazena te zidarski poravak većih oštećenja debeloslojnim polimer-cementnim mortom.</t>
  </si>
  <si>
    <t>Nakon sanacije većih oštećenja, predviđa se obrada kompletnog presjeka jedno- ili dvokomponentnim, elastičnim, vlaknima ojačanim mortom na bazi modificiranog cementa s polimerima otpornim  na alkalije, odabranim agregatima s finim česticama te s dodatkom vlakana i aditiva za hidroizolaciju.</t>
  </si>
  <si>
    <t>Nanosi se valjkom, četkom ili gleterom u minimalno dva sloja, minimalne ukupne debljine 3mm, uz maksimalno nanošenje u jednom sloju do 2mm. Na spojevima i uglovima obavezno je korištenje odgovarajuće ljepljive pokrivne trake. Posebnu pažnju obratiti na obradu mjesta prodora instalacija - upotrijebiti kompatibilni sustav brtvi - uračunato u cijenu stavke.</t>
  </si>
  <si>
    <t>5.7.2.</t>
  </si>
  <si>
    <t>ZIDANJE KAMENOM BAZE FONTANE</t>
  </si>
  <si>
    <t>Nabava, doprema i ugradnja svog potrebnog materijala za zidanje lomljenim kamenom.</t>
  </si>
  <si>
    <t>Kamen većeg formata, dimenzija &gt; 30x20x20cm, grubo lomljen, vrste i kolorita kao kamen postojećih potpornih zidova u istočnom dvorištu. Zida se na rustikalni način, bez vidljivog vertikalnog ili horizontalnog sređivanja, s uvučenom, neprimjetnom fugom ispunjenom cementnim mortom s dodatkom za vodonepropusnost.</t>
  </si>
  <si>
    <t>Zidanje oko cijevi mlaznice, približno u obliku krnjeg stošca s bazom cca 1,5 m  i vrhom cca 80 cm, visina cca 75 cm. Zidanu strukturu u centralnom, unutarnjem dijelu stošca (šupljine) ispuniti tekućim cementnim mortom s dodatkom za vodonepropusnost.</t>
  </si>
  <si>
    <t>Uključivo dobava dodatnih kamenova, cca 1 m³ za slobodno aranžiranje na dnu bazena.</t>
  </si>
  <si>
    <t>Stavka uključuje impregniranje zidanog dijela bezbojnim sredstvom za hidrofobiranje - višestruko špricanje, do potpunog zasićenja.</t>
  </si>
  <si>
    <t>Sve prema detaljnom nacrtu i dogovoru s projektantom!</t>
  </si>
  <si>
    <t>Obračun po m³ izvedenog zidanja i m³ dodatno dobavljenog kamena.</t>
  </si>
  <si>
    <t xml:space="preserve"> - zidanje kamenom, uklj. fugiranje i impregniranje</t>
  </si>
  <si>
    <t xml:space="preserve">m³ </t>
  </si>
  <si>
    <t xml:space="preserve"> - dodatno dobavljeni kamen</t>
  </si>
  <si>
    <t>5.8.</t>
  </si>
  <si>
    <t>IMPREGNIRANJE NOVIH ELEMENATA BEZBOJNIM SREDSTVOM ZA HIDROFOBIRANJE</t>
  </si>
  <si>
    <t>Višestruki premaz (ili nanos špricanjem) bezbojnim sredstvom za hidrofobiranje / impregniranje svih površina, do potpunog zasićenja.</t>
  </si>
  <si>
    <t xml:space="preserve"> - opločenje - prani kulir - ZAPAD</t>
  </si>
  <si>
    <t xml:space="preserve"> - ukrasni beton / baze rasvjete - ISTOK</t>
  </si>
  <si>
    <t xml:space="preserve"> - ukrasni beton / pragovi (stube) i kanalice - ISTOK</t>
  </si>
  <si>
    <t xml:space="preserve"> - ukrasni beton / nove stube na istočni plato - ISTOK</t>
  </si>
  <si>
    <t xml:space="preserve"> - ukrasni beton / novi potporni zidovi</t>
  </si>
  <si>
    <t xml:space="preserve"> - oblutci u mortu / nova kanalica uz post.centr.potporni zid - ISTOK</t>
  </si>
  <si>
    <t>5.9.</t>
  </si>
  <si>
    <t>HIDROIZOLACIJA I ZAŠTITA H.I. KONTAKTNE PODZEMNE POVRŠINE PROČELJA</t>
  </si>
  <si>
    <t>5.9.1.</t>
  </si>
  <si>
    <t>HIDROIZOACIJA</t>
  </si>
  <si>
    <t>Dobava i ugradnja jedno- ili dvokomponentnog, elastičnog, vlaknima ojačanog morta na bazi modificiranog cementa s polimerima otpornim  na alkalije, odabranim agregatima s finim česticama, s dodatkom vlakana i aditiva za hidroizolaciju i zaštitu podzemnih dijelova pročelja na kontaktu sa opločenjem.</t>
  </si>
  <si>
    <t>Podloga mora biti strukturno zdrave, čiste, suhe i bez svih onečišćenja kao što su prljavština, ulje, masti, cementna skramica, premazi i ostali površinski tretmani itd.</t>
  </si>
  <si>
    <t>Površinu očistiti vodom pod visokim pritiskom (400 bara), četkanjem žicom, brušenjem itd., kako bi se uklonili svi prethodni premazi, masnoće, hrđa, sredstava za odvajanje, cementna skramica i drugi materijali koji mogu umanjiti prionjivost. Sva prašina nakon pripreme se mora ukloniti. Ako je potrebno, popraviti podlogu odgovarajućim, kompatibilnim  cementnim sanacijskim mortom.</t>
  </si>
  <si>
    <t>Izvodi se u visini cca 45cm, ispod projektirane kote opločenja.</t>
  </si>
  <si>
    <t>Obračun po m² izvedene H.I.</t>
  </si>
  <si>
    <t xml:space="preserve"> - sjeverno pročelje - ZAPAD</t>
  </si>
  <si>
    <t xml:space="preserve"> - istočno pročelje - ZAPAD</t>
  </si>
  <si>
    <t xml:space="preserve"> - južno pročelje - ZAPAD</t>
  </si>
  <si>
    <t xml:space="preserve"> - istočno pročelje - ISTOK</t>
  </si>
  <si>
    <t xml:space="preserve">m² </t>
  </si>
  <si>
    <t>5.9.2.</t>
  </si>
  <si>
    <t>TERMOIZOLACIJA / ZAŠTITA H.I.</t>
  </si>
  <si>
    <t>Dobava i ugradnja svog potrebnog materijala za izvedbu toplinske izolacije.</t>
  </si>
  <si>
    <t>Sloj toplinske izolacije - Fibran XPS Etics GF, deb 60 mm fiksira se na H.I. poliuretanskim ljepilom i finalizira zidarski (fasadna mrežica 160 g + reparaturni mort).</t>
  </si>
  <si>
    <t>Toplinska izolacija visine 35 cm (za 10 cm manje visine H.I.).</t>
  </si>
  <si>
    <t>Obračun po m² izvedene T.I.</t>
  </si>
  <si>
    <t>6.</t>
  </si>
  <si>
    <t>PARKOVNA I KOMUNALNA OPREMA</t>
  </si>
  <si>
    <t>6.1.</t>
  </si>
  <si>
    <t>POSUDA ZA OTPATKE</t>
  </si>
  <si>
    <t>Dobava, dovoz i postava tipskih samostojećih posuda za otpatke.</t>
  </si>
  <si>
    <t>Posuda oblika obrnutog krnjeg stošca, željezna konstrukcija s drvenom oplatom i s limenim uloškom za otpatke, uključivo mehanizam za pričvršćenje vrećice.</t>
  </si>
  <si>
    <t>Boja po izboru projektanta uz odobrenje konzervatora.</t>
  </si>
  <si>
    <t>Obračun po kom dobavljenog i postavljenog elementa.</t>
  </si>
  <si>
    <t>6.2.</t>
  </si>
  <si>
    <t>PARKOVNA KLUPA</t>
  </si>
  <si>
    <t>Dobava, dovoz i postava tipskih samostojećih parkovnih klupa tip "GRIČ" na opločenje (kao u parku Grič).</t>
  </si>
  <si>
    <t>Klupa je izrađene od ljevanoželjeznog okvira s rukohvatima i sjedalice od punog hrastovog drva, stolarski obrađene, zaobljenih rubova.</t>
  </si>
  <si>
    <t>6.3.</t>
  </si>
  <si>
    <t>SERVIS POGONA FONTANE I ZAMJENA MLAZNICA I PRELJEVA</t>
  </si>
  <si>
    <t>Detaljni pregled i servis svih elemenata fontane, uključivo probni pogon u trajanju minimalno 12 sati.</t>
  </si>
  <si>
    <t xml:space="preserve">Prilagodba postojeće mlazne cijevi - zamjena ili produženje do visine cca 80cm, te dobava ili izrada višestruke mlaznice (kao ranije postojeća) i njezino učvršćenje - vrh na visini cca 90cm. Sve prema dogovoru s projektantom! </t>
  </si>
  <si>
    <t>Prilagodba postojećih odvodnih cijevi preljeva na način da ih se integrira u kamenu bazu. Sve prema dogovoru s projektantom!</t>
  </si>
  <si>
    <t>7.</t>
  </si>
  <si>
    <t>SADNJA / ZEMLJA</t>
  </si>
  <si>
    <t>7.1.</t>
  </si>
  <si>
    <t>SKIDANJE POVRŠINSKOG SLOJA ZEMLJE deb.cca 20cm</t>
  </si>
  <si>
    <t>Izvodi se na svim ozelenjenim površinama, neposredno prije sadnje.</t>
  </si>
  <si>
    <t>Skidanje površinskog sloja zemlje / materijala debljine cca 20 cm / do nezagađenog sloja zemlje.</t>
  </si>
  <si>
    <t>U cijenu uključiti utovar iskopanog materijala u prijevozno sredstvo i prijevoz na deponiju do 20km.</t>
  </si>
  <si>
    <t>Obračun po m³ otkopanog i odveženog materijala.</t>
  </si>
  <si>
    <t xml:space="preserve"> - zelena površina uz trijem</t>
  </si>
  <si>
    <t xml:space="preserve"> - zelena površina uz stabla</t>
  </si>
  <si>
    <t xml:space="preserve"> - zelena površina uz stube</t>
  </si>
  <si>
    <t xml:space="preserve"> - centralna zelena površina</t>
  </si>
  <si>
    <t xml:space="preserve"> - jugozapad</t>
  </si>
  <si>
    <t>7.2.</t>
  </si>
  <si>
    <t>PLODNA ZEMLJA</t>
  </si>
  <si>
    <t xml:space="preserve">Nabava, doprema i punjenje sadnih površina visokokvalitetnom plodnom zemljom bez primjesa korova, kamena i ostalih nečistoća. </t>
  </si>
  <si>
    <t>Zemlja mora biti odobrena od nadzora i projektanta te na licu mjesta treba izvršiti test pH i hranjiva.</t>
  </si>
  <si>
    <t>Uračunat višak radi slijeganja 30%.</t>
  </si>
  <si>
    <t>Obračun po m3 dovezene i razastrte zemlje.</t>
  </si>
  <si>
    <t>7.3.</t>
  </si>
  <si>
    <t>DODATAK SUPSTRATA</t>
  </si>
  <si>
    <t xml:space="preserve">Nabava, doprema i razastiranje supstrata s dodatkom islandske lave za opskrbu vodom, kisikom i hranjivima; stabilne strukture, prilagođene pH vrijednosti s niskim udjelom treseta; zemlja za lončanice s dodatkom gnojiva osmocota (5% količine plodne zemlje). </t>
  </si>
  <si>
    <t>litara</t>
  </si>
  <si>
    <t>8.</t>
  </si>
  <si>
    <t>SADNJA DRVEĆA</t>
  </si>
  <si>
    <t>8.1.</t>
  </si>
  <si>
    <r>
      <t xml:space="preserve">SADNICE DRVEĆA A-kvalitete / </t>
    </r>
    <r>
      <rPr>
        <i/>
        <sz val="10"/>
        <rFont val="Arial"/>
        <family val="2"/>
      </rPr>
      <t>Prunus serrulata</t>
    </r>
    <r>
      <rPr>
        <sz val="10"/>
        <rFont val="Arial"/>
        <family val="2"/>
      </rPr>
      <t xml:space="preserve"> 'Kanzan'</t>
    </r>
  </si>
  <si>
    <t>Nabava i doprema sadnica drveća uzgojenog na vrtlarski način (školovanjem) A-kvalitete (ravnog debla, iste visine, habitusa i rasporeda grana), promjer debla na visini 1m ø 8-10 cm (prsni opseg 25-30 cm),  visine minimum 400 cm (deblo minimalne visine 250 cm), kontejnirano, povezana krošnja s čitljivom etiketom. (Nabava bilja na temelju predočenog kataloga o kvaliteti bilja)</t>
  </si>
  <si>
    <r>
      <rPr>
        <i/>
        <sz val="10"/>
        <rFont val="Arial"/>
        <family val="2"/>
      </rPr>
      <t>Prunus serrulata</t>
    </r>
    <r>
      <rPr>
        <sz val="10"/>
        <rFont val="Arial"/>
        <family val="2"/>
      </rPr>
      <t xml:space="preserve"> 'Kanzan'</t>
    </r>
  </si>
  <si>
    <t>8.2.</t>
  </si>
  <si>
    <r>
      <t xml:space="preserve">SADNICE DRVEĆA A-kvalitete / </t>
    </r>
    <r>
      <rPr>
        <i/>
        <sz val="10"/>
        <rFont val="Arial"/>
        <family val="2"/>
      </rPr>
      <t>Juniperus virginiana</t>
    </r>
    <r>
      <rPr>
        <sz val="10"/>
        <rFont val="Arial"/>
        <family val="2"/>
      </rPr>
      <t xml:space="preserve"> 'Taylor'</t>
    </r>
  </si>
  <si>
    <t>Nabava i doprema sadnica drveća uzgojenog na vrtlarski način (školovanjem) A-kvalitete (ravnog debla, iste visine, habitusa i rasporeda grana),  visine minimum 400 cm, kontejnirano, povezana krošnja s čitljivom etiketom. (Nabava bilja na temelju predočenog kataloga o kvaliteti bilja)</t>
  </si>
  <si>
    <r>
      <rPr>
        <i/>
        <sz val="10"/>
        <rFont val="Arial"/>
        <family val="2"/>
      </rPr>
      <t>Juniperus virginiana</t>
    </r>
    <r>
      <rPr>
        <sz val="10"/>
        <rFont val="Arial"/>
        <family val="2"/>
      </rPr>
      <t xml:space="preserve"> 'Taylor'</t>
    </r>
  </si>
  <si>
    <t>8.3.</t>
  </si>
  <si>
    <t>KOLCI</t>
  </si>
  <si>
    <t>Nabava kolaca za usidrenje soliternih stabala od kestena ili akacije, tokaren impregniran; ø 8 cm, dulj. 250 cm, 3 kom po sadnici drveta.</t>
  </si>
  <si>
    <t>8.4.</t>
  </si>
  <si>
    <t>GURTNA</t>
  </si>
  <si>
    <t>Gurtna jednobojna, za vezanje drveta uz kolac,  1.5 m'/kom sadnice.</t>
  </si>
  <si>
    <t>8.5.</t>
  </si>
  <si>
    <t>SADNJA STABALA</t>
  </si>
  <si>
    <t xml:space="preserve">Ručno kopanje jama i rahlenje dna jame veličine ø 80 / 80 cm dubine. </t>
  </si>
  <si>
    <t>Dodavanje granulata za akumulaciju vode prema uputama proizvođača.</t>
  </si>
  <si>
    <t xml:space="preserve">Zatrpavanje jama do polovine bez nabijanja. </t>
  </si>
  <si>
    <t>Orezivanje korijena i krošnje.</t>
  </si>
  <si>
    <t xml:space="preserve">Gnojenje osmocote gnojivom produženog djelovanja 6 mjeseci, koje se sastoji od finih NPK granula i sadrži elemente u tragovima i dodani magnezij. Svaka granula je pokrivena organskom, polu propusnom oblogom od biorazgradive smole izrađene od biljnih ulja).  Sve prema uputama proizvođača. </t>
  </si>
  <si>
    <t>Zabijanje kolca, sadnja, zatrpavanje, vezanje, poravnavanje oko drveta. Jednokratno zalijevanje s min. 50 lit. vode/kom.</t>
  </si>
  <si>
    <t xml:space="preserve">Odvoz viška iskopanog materijala/zemlje na udaljenost do 20 km na deponiju investitora. </t>
  </si>
  <si>
    <t>9.</t>
  </si>
  <si>
    <t>SADNJA ŽIVICE</t>
  </si>
  <si>
    <t>9.1.</t>
  </si>
  <si>
    <t>SADNICE ŽIVICE A-KVALITETE, min 2 l kontejner</t>
  </si>
  <si>
    <t>Nabava i doprema sadnica grmlja  uzgojenih na vrtlarski način, A- kvalitete, visine 20-30 cm razgranatog, formiranog grma gustog habitusa s gustim spletom korijenja, u kontejneru min. 2 l, s čitljivom etiketom.</t>
  </si>
  <si>
    <r>
      <t>Euonymus japonicus</t>
    </r>
    <r>
      <rPr>
        <sz val="10"/>
        <rFont val="Arial"/>
        <family val="2"/>
      </rPr>
      <t>'Green Spire'</t>
    </r>
  </si>
  <si>
    <t>9.2.</t>
  </si>
  <si>
    <t>SADNJA ŽIVICE - 2 l kontejneri</t>
  </si>
  <si>
    <t>Ručno kopanje jarka i rahlenje dna jarka veličine širine30cm, dužine 104.70 m i 30 cm dubine.</t>
  </si>
  <si>
    <t>Dodavanje granulata za akumulaciju vode, prema uputama proizvođača.</t>
  </si>
  <si>
    <t>Orezivanje grmlja.</t>
  </si>
  <si>
    <t xml:space="preserve">Gnojenje osmocote gnojivom produženog djelovanja - 6 mjeseci, koje se sastoji od finih NPK granula i sadrži elemente u tragovima i dodani magnezij. Svaka granula je pokrivena organskom, polu propusnom oblogom od biorazgradive smole izrađene od biljnih ulja).  Sve prema uputama proizvođača. </t>
  </si>
  <si>
    <t>Sadnja, zatrpavanje, poravnavanje površine. Jednokratno zalijevanje sa min. 10 lit. vode/kom.</t>
  </si>
  <si>
    <t>sadnja</t>
  </si>
  <si>
    <t>10.</t>
  </si>
  <si>
    <t>SADNJA GRMLJA I TRAJNICA</t>
  </si>
  <si>
    <t>10.1.</t>
  </si>
  <si>
    <t>SADNICE GRMLJA A-KVALITETE, 3 l kontejner</t>
  </si>
  <si>
    <t>Nabava i doprema sadnica grmlja  uzgojenih na vrtlarski način, A- kvalitete, minimalne starosti 3-4 godine razgranatog, formiranog grma gustog habitusa s gustim spletom korijenja, u kontejneru min. 3 l, s čitljivom etiketom.</t>
  </si>
  <si>
    <r>
      <rPr>
        <i/>
        <sz val="10"/>
        <rFont val="Arial"/>
        <family val="2"/>
      </rPr>
      <t>Loropetalum chinense</t>
    </r>
    <r>
      <rPr>
        <sz val="10"/>
        <rFont val="Arial"/>
        <family val="2"/>
      </rPr>
      <t xml:space="preserve"> 'Jazz Hands Bold®'</t>
    </r>
  </si>
  <si>
    <t>10.2.</t>
  </si>
  <si>
    <t>Nabava i doprema sadnica grmlja  uzgojenih na vrtlarski način, A- kvalitete, minimalne starosti 3-4 godine razgranatog, formiranog grma gustog habitusa s gustim spletom korijenja, u kontejneru min. 2 l, s čitljivom etiketom.</t>
  </si>
  <si>
    <t>Rosa 'Pink Fairy'</t>
  </si>
  <si>
    <t>Rosa 'Fairy Dance'</t>
  </si>
  <si>
    <t>Rosa 'White Fairy'</t>
  </si>
  <si>
    <t>10.3.</t>
  </si>
  <si>
    <t>Nabava i doprema sadnica grmlja  uzgojenih na vrtlarski način, A- kvalitete, minimalne starosti 3-4 godine razgranatog, formiranog grma gustog habitusa s gustim spletom korijenja, u kontejneru min. 1.5 l, s čitljivom etiketom.</t>
  </si>
  <si>
    <t>Cotoneaster dammeri</t>
  </si>
  <si>
    <t>10.4.</t>
  </si>
  <si>
    <t>SADNICE TRAJNICA / POKRIVAČA TLA A-KVALITETE, P9 lončić</t>
  </si>
  <si>
    <t>Nabava i doprema sadnica trajnica uzgojenih na vrtlarski način, A- kvalitete, u lončiću min P9 5-7 mladica s čitljivom etiketom.</t>
  </si>
  <si>
    <t>Veronica repens</t>
  </si>
  <si>
    <t>10.5.</t>
  </si>
  <si>
    <t>SADNJA GRMLJA  - 3l kontejneri</t>
  </si>
  <si>
    <t>Ručno kopanje jama i rahlenje dna jame veličine ø 40 / 40 cm dubine.</t>
  </si>
  <si>
    <t>10.6.</t>
  </si>
  <si>
    <t>SADNJA RUŽA I POKRIVAČA TLA  - 1.5l I 2l kontejneri</t>
  </si>
  <si>
    <t>Ručno kopanje jama i rahlenje dna jame veličine ø 30 / 30 cm dubine.</t>
  </si>
  <si>
    <t>Orezivanje ruža i pokrivača tla.</t>
  </si>
  <si>
    <t>10.7.</t>
  </si>
  <si>
    <t>PROTUKOROVNA FOLIJA ZA SADNJU RUŽA I POKRIVAČA TLA</t>
  </si>
  <si>
    <t>Nabava, doprema, krojenje i prostiranje protukorovne folije za poljoprivredu i hortikulturu po ukupnoj površini predviđenoj za sadnju (prije sadnje).</t>
  </si>
  <si>
    <t>10.8.</t>
  </si>
  <si>
    <t>MALČ ZA SADNJU RUŽA I POKRIVAČA TLA</t>
  </si>
  <si>
    <t>Nabava i doprema sjeckane borove kore (obavezno kora od Pinus sp.), veličine kore 15-25mm, kao malč ispod nasada. Potrebna količina malča 50 lit./m².</t>
  </si>
  <si>
    <t>Pažljivo razastiranje malča nakon sadnje nasada i postave protukorovne folije, na ukupnoj površini predviđenoj za sadnju.</t>
  </si>
  <si>
    <t>Ukupna površina nasada / razastiranje m²</t>
  </si>
  <si>
    <t>Malč / dobava</t>
  </si>
  <si>
    <t>lit.</t>
  </si>
  <si>
    <t>10.9.</t>
  </si>
  <si>
    <t>SADNJA  TRAJNICA / POKRIVAČA TLA  - P9 lončić</t>
  </si>
  <si>
    <t>Ručno kopanje jama i rahlenje dna jame veličine ø 20 / 20 cm dubine.</t>
  </si>
  <si>
    <t>Orezivanje grmlja i trajnica.</t>
  </si>
  <si>
    <t>Sadnja, zatrpavanje, poravnavanje površine. Jednokratno zalijevanje sa min. 5 lit. vode/kom.</t>
  </si>
  <si>
    <t>11.</t>
  </si>
  <si>
    <t>SADNJA TRAVNJAKA</t>
  </si>
  <si>
    <t>11.1.</t>
  </si>
  <si>
    <t>Nabava, doprema, fino planiranje i postava kvalitetnog travnog busena za vrtove u rolama 1,25m x0.40m, zemljani sloj debljine 2 cm</t>
  </si>
  <si>
    <t>Završna obrada površinskog sloja tla - nabava doprema i razastiranje organskog supstrata (cca 10-15 lit/m2) i mineralnog gnojiva NPK (cca 50 g/m2).</t>
  </si>
  <si>
    <t>Zalijevanje postavljenog travnog busena po potrebi u periodu izvedbe travnjaka.</t>
  </si>
  <si>
    <t>Jediničnom cijenom obuhvaćen je sav potreban materijal i rad.</t>
  </si>
  <si>
    <t>Obračun po m² postavljenog travnog busena.</t>
  </si>
  <si>
    <t>12.</t>
  </si>
  <si>
    <t>FITOSANITETSKA ZAŠTITA</t>
  </si>
  <si>
    <t>Pod ovom stavkom se obuhvaća ukupnost radnji koje izvoditelj treba učiniti u smislu zaštite biljnog materijala od završetka izvođačkih radova do preuzimanja održavanja od za to od strane investitora zadužene službe u pretpostavljenom razdoblju od jedne godine dana.</t>
  </si>
  <si>
    <t>Ova stavka podrazumijeva održavanje i njegu:</t>
  </si>
  <si>
    <t>Okopavanje stabala 5 puta u doba vegetacije, plijevljenje, eventualna zaštita od bolesti i štetočina, dosadnja oštećenih, uvelih ili nezaliječenih sadnica, zaštita od zime i vrućine i dr.</t>
  </si>
  <si>
    <t>Popravljanje kolaca i vezova.</t>
  </si>
  <si>
    <t xml:space="preserve">Okopavanje grmlja i pokrivača tla 5 puta u doba vegetacije, plijevljenje tla oko njih te uklanjanje korova, eventualna zaštita od bolesti i štetočina, dosadnja oštećenih, uvelih ili nezaliječenih sadnica, zaštita od zime i vrućine i dr. </t>
  </si>
  <si>
    <t>Orezivanje i prihrana grmova, trajnica i penjačica min. 1x godišnje.</t>
  </si>
  <si>
    <t>Redovito zalijevanje zelenila raspršivačima u sušno doba, sa 20 lit. kroz 20 min/m² za 20 cm dubine (nakvašenog tla) kao minim. Zalijevanje se ponavlja svakih 4 dana u vrijeme suše (voditi dnevnik).</t>
  </si>
  <si>
    <t xml:space="preserve"> - godišnji paušal</t>
  </si>
  <si>
    <t>13.</t>
  </si>
  <si>
    <t>NAVODNJAVANJE</t>
  </si>
  <si>
    <t>PROJEKTANT NAVODNJAVANJA: Luka Brnić, ovl.kraj.arh.</t>
  </si>
  <si>
    <t>VRTNI DESIGN d.o.o.</t>
  </si>
  <si>
    <t>NAPOMENE:</t>
  </si>
  <si>
    <t>Sustav za navodnjavanje opskrbljuje se pitkom sanitarnom vodom iz javnog vodoopskrbnog sustava. Priključci za sustav navodnjavanja izvode se na tri mjesta.</t>
  </si>
  <si>
    <t>Radovi na izvedbi sustava za navodnjavanje predviđeni su za izvedbu u dvije faze:</t>
  </si>
  <si>
    <t xml:space="preserve"> - radovi koji se izvode istovremeno s izvedbom vodene i elektro infrastrukture objekta i</t>
  </si>
  <si>
    <t xml:space="preserve"> - radovi koji se izvode istovremeno s radovima na krajobraznom uređenju objekta.</t>
  </si>
  <si>
    <t>U fazi izvedbe vodne i elektro infrastrukture objekta obavezno je položiti sve opskrbne cjevovode na površinama pješačkih staza i prometnica te povezati provlačnim cijevima sve navodnjavane zelene površine.</t>
  </si>
  <si>
    <t>Sve instalacije položene u prvoj fazi izvedbe radova potrebno je ucrtati kao izvedeno stanje instalacije, zaštititi od ulaska nečistoća i oštećenja te odgovarajuće obilježiti kako bi bile dostupne i spremne za priključivanje ostalih instalacija sustava za navodnjavanje.</t>
  </si>
  <si>
    <t>Ostali radovi na instalacijama sustava navodnjavanja izvode se istovremeno s formiranjem krajobraznih površina, navoženjem zemljanog materijala i supstrata, te sadnjom biljnog materijala i stabala.</t>
  </si>
  <si>
    <t>13.1.</t>
  </si>
  <si>
    <t>PRIBOR I ARMATURE</t>
  </si>
  <si>
    <t>13.1.1.</t>
  </si>
  <si>
    <t>Tipska četvrtasta ventilska okna iz ojačanog propilena za ugradnju elektromagnetskih ventila dimenzija  63x54,5x30,5 cm</t>
  </si>
  <si>
    <t>13.1.2.</t>
  </si>
  <si>
    <t>Tipsko okruglo ventilsko okno iz ojačanog polietilena, gornji promjer 27 cm</t>
  </si>
  <si>
    <t>13.1.3.</t>
  </si>
  <si>
    <t>Kuglasti ventil za vodu R 1"   dobava i ugradnja. Stavka ulkučuje sav potreban spojni materijal za spajanje na licu mjesta</t>
  </si>
  <si>
    <t>13.1.4.</t>
  </si>
  <si>
    <t>Ugradnja sedlaste spojnice 1"3,4 sa čepom za potrebe godišnjeg servisa navodnjavanja</t>
  </si>
  <si>
    <t>UKUPNO PRIBOR I ARMATURE</t>
  </si>
  <si>
    <t>13.2.</t>
  </si>
  <si>
    <t>AUTOMATIKA</t>
  </si>
  <si>
    <t>13.2.1.</t>
  </si>
  <si>
    <t>EMV - elektromagnetski ventil 1"   9V bistabilna špula, raspon tlaka 1,04-10,00 Bar, protok  0,45-34,05 m³/h.  stavka uključuje sav potreban spojni materijal za spajanje u šahtu.</t>
  </si>
  <si>
    <t>13.2.2.</t>
  </si>
  <si>
    <t xml:space="preserve">Dobava i ugradnja, oborinski senzor  za odgađanje ciklusa zalijevanja u slučaju oborina. </t>
  </si>
  <si>
    <t>13.2.3.</t>
  </si>
  <si>
    <t>Vodotijesni spojevi za izvedbu spojeva elektrokablova ventila s programatorom</t>
  </si>
  <si>
    <t>13.2.4.</t>
  </si>
  <si>
    <t>Baterija 9 V</t>
  </si>
  <si>
    <t>13.2.5.</t>
  </si>
  <si>
    <t>Dobava i ugradnja Lora/Bluetooth/Wifi 9 V kontrolni modul 6 stanica</t>
  </si>
  <si>
    <t>13.2.6.</t>
  </si>
  <si>
    <t>Dobava i ugradnja Lora/Bluetooth/Wifi kontrolni modul 4 stanica</t>
  </si>
  <si>
    <t>UKUPNO AUTOMATIKA</t>
  </si>
  <si>
    <t>13.3.</t>
  </si>
  <si>
    <t>INSTALACIJA NAVODNJAVANJA</t>
  </si>
  <si>
    <t>13.3.1.</t>
  </si>
  <si>
    <t>Cijev 16mm kap-po-kap za podzemnu ugradnju  za pritisak 0,6 do 4 bara 2,3 l/h.33cm</t>
  </si>
  <si>
    <t>13.3.2.</t>
  </si>
  <si>
    <t>Rasprskivač sa pop up skakačem od 10 cm</t>
  </si>
  <si>
    <t>13.3.3.</t>
  </si>
  <si>
    <t>Dizna radijusa od 2,4-4,6 m. Rotirajuće dizne  sa mogućnosti podešavanja kuta prskanja prema potrebi kružni ili štapićasti</t>
  </si>
  <si>
    <t>13.3.4.</t>
  </si>
  <si>
    <t>Fleksibilan spoj za spajanje rasprskivača (spoj1/2"m)  na sedlastu spojnicu -3/4ž</t>
  </si>
  <si>
    <t>13.3.5.</t>
  </si>
  <si>
    <t>Sedlasta spojnica (obujmica) 1"-3/4ž</t>
  </si>
  <si>
    <t>13.3.6.</t>
  </si>
  <si>
    <t>Filter 1" s predsetiranim tlakom 2.8 bara, 681-3407 l/h</t>
  </si>
  <si>
    <t>UKUPNO INSTALACIJA NAVODNJAVANJA</t>
  </si>
  <si>
    <t>13.4.</t>
  </si>
  <si>
    <t>SPOJNI MATERIJAL</t>
  </si>
  <si>
    <t>13.4.1.</t>
  </si>
  <si>
    <t>Komplet tlačnog spojnog materijala iz polipropilena PN 10 bara  za kompletnu instalaciju</t>
  </si>
  <si>
    <t>13.4.2.</t>
  </si>
  <si>
    <t>Komplet spojnog materijal za kap po kap cijevi (L, T komadi, adapteri, čepovi 16mm)</t>
  </si>
  <si>
    <t>13.5.</t>
  </si>
  <si>
    <t>CJEVOVOD</t>
  </si>
  <si>
    <t>13.5.1.</t>
  </si>
  <si>
    <t>Priključak na glavni vod, izrada priključka sa završetkom sa kuglastim ventilom 1" (stavka 13.1.3.). Stavka uključije spajanje na glavni  vod unutra postojećeg betonskog šahta. Štemanje betona, po spajanju krpanje i obrada šahta cementnim mortom.</t>
  </si>
  <si>
    <t>13.5.2.</t>
  </si>
  <si>
    <t>Spojna cijev 16mm, PN10 za fleksibilnu vezu za stabla na cjevovod i povezivanje instalacije kap po kap</t>
  </si>
  <si>
    <t>13.5.3.</t>
  </si>
  <si>
    <t>Cijev iz polietilena za izvedbu razvoda instalacije za opskrbu rasprskivača, PE cijev Ø 32 mm, PN10</t>
  </si>
  <si>
    <t>UKUPNO CJEVOVOD</t>
  </si>
  <si>
    <t>13.6.</t>
  </si>
  <si>
    <t>INSTALATERSKI RADOVI</t>
  </si>
  <si>
    <t>13.6.1.</t>
  </si>
  <si>
    <t>Ugradnja PE cjevovoda</t>
  </si>
  <si>
    <t>13.6.2.</t>
  </si>
  <si>
    <t>Polaganje cijevi kap-po-kap , uključivo sa vertikalnom stabilizacijom, spajanje svih međusobnih spojeva.</t>
  </si>
  <si>
    <t>13.6.3.</t>
  </si>
  <si>
    <t>Ugradnja sklopova ventilskih okana uključivo  stabilizaciju okna, izradu drenažne podloge.</t>
  </si>
  <si>
    <t>13.6.4.</t>
  </si>
  <si>
    <t>Ugradnja rasprskivaća i podešavanje kuteva</t>
  </si>
  <si>
    <t>13.6.5.</t>
  </si>
  <si>
    <t xml:space="preserve">Instalacija programatora </t>
  </si>
  <si>
    <t>UKUPNO INSTALATERSKI RADOVI</t>
  </si>
  <si>
    <t>13.7.</t>
  </si>
  <si>
    <t>ZEMLJANI I GRAĐEVINSKI RADOVI</t>
  </si>
  <si>
    <t>13.7.1.</t>
  </si>
  <si>
    <t>Iskop rova 20x30 cm u tlu  za  lateralne vodove</t>
  </si>
  <si>
    <t>UKUPNO ZEMLJANI I GRAĐEVINSKI RADOVI</t>
  </si>
  <si>
    <t>UKUPNO - NAVODNJAVANJE  (€):</t>
  </si>
  <si>
    <t>UKUPNO - SADNJA TRAVNJAKA (€):</t>
  </si>
  <si>
    <t>SVEUKUPNO:</t>
  </si>
  <si>
    <t>TROŠKOVNIK KRAJOBRAZNOG UREĐENJA</t>
  </si>
  <si>
    <t>UKUPNO - PRIPREMNI RADOVI I RUŠENJA:</t>
  </si>
  <si>
    <t>UKUPNO - ZEMLJANI RADOVI:</t>
  </si>
  <si>
    <t>UKUPNO - BETONSKI I ARMIRANO BETONSKI RADOVI:</t>
  </si>
  <si>
    <t>UKUPNO - OPLOČENJE:</t>
  </si>
  <si>
    <t>UKUPNO - ZIDARSKI RADOVI:</t>
  </si>
  <si>
    <t>UKUPNO - PARKOVNA I KOMUNALNA OPREMA:</t>
  </si>
  <si>
    <t>UKUPNO - SADNJA / ZEMLJA:</t>
  </si>
  <si>
    <t>UKUPNO - SADNJA DRVEĆA:</t>
  </si>
  <si>
    <t>UKUPNO - SADNJA ŽIVICE:</t>
  </si>
  <si>
    <t>UKUPNO - SADNJA GRMLJA I TRAJNICA:</t>
  </si>
  <si>
    <t>UKUPNO - SADNJA TRAVNJAKA:</t>
  </si>
  <si>
    <t>UKUPNO - FITOSANITETSKA ZAŠTITA:</t>
  </si>
  <si>
    <t>UKUPNO - NAVODNJAVANJE:</t>
  </si>
  <si>
    <t>RADOVI KRAJOBRAZNOG UREĐENJA UKUPNO:</t>
  </si>
  <si>
    <t>TROŠKOVNIK KRAJOBRAZNOG UREĐENJA UKUPNO</t>
  </si>
  <si>
    <t>TROŠKOVNIK INSTALACIJA GRIJANJA, HLAĐENJA I VENTILACIJE UKUPNO</t>
  </si>
  <si>
    <t>I.</t>
  </si>
  <si>
    <t>PREDOPISI RADOVA VERTIKALNOG TRANSPORTA</t>
  </si>
  <si>
    <t>OPĆI UVJETI UZ TROŠKOVNIK RADOVA VERTIKALNOG TRANSPORTA</t>
  </si>
  <si>
    <t xml:space="preserve">Opće napomene     
Sve radove izvesti prema opisima pojedinih stavki troškovnika i opisa pojedinih grupa radova. Ako neke stavke imaju nejasan i nedovoljan opis, onda svaki započeti opis pojedine stavke znači cjelokupnu izradu te stavke, to jest nabavu, dopremu materijala, sve prenose i prijevoze, izradu, skidanje oplate, zaštitu, njegovanje pojedinih elemenata po izradi i nakon ugradbe, kao i ostalo. Jediničnom cijenom potrebno je obuhvatiti sve elemente navedene kako slijedi:
a) izvođač radova dužan je prije početka radova provjeriti kote postojeċeg stanja terena u odnosu na relativnu kotu (0,00) kod svih ulaza i kod svih nutarnjih podnih ploča kao i za ulazne instalacije.
b) ukoliko se ukažu eventualne nejednakosti između projekta i stanja na gradilišta izvođač radova dužan je pravovremeno o tome pismeno izvjestiti investitora, projektanta i nadzornog inženjera te shodno s tim zatražiti potrebna objašnjenja.
c) sve mjere u projektima provjeriti na gradilištu,
d) svu potrebnu provjeru točnosti količina u dokaznici mjera i troškovniku vršiti bez posebne naplate to jest o trošku izvođača radova.
Ove opće napomene odnose se na radove dobave, dopreme i montaže dizala, a sve u cilju ostvarenja što lakših, bržih i efikasnijih vertikalnih transporta.
Ovi radovi izvode se prema posebnom projektu za dizala. Tehnički opis iz projektne dokumentacije koji se odnosi na ovu vrstu radova, smatra se sastavnim dijelom ovih općih napomena, odnosno sastavnim dijelom ovog troškovnika.
</t>
  </si>
  <si>
    <t xml:space="preserve">Radove iz ovog poglavlja izvesti stručno, solidno i isključivo prema opisu iz ovog troškovnika, tehničkoj dokumentaciji kao i isključivo po odabiru, uputstvima i odobrenjima glavnog projektanta.
Svi radovi trebaju biti izvedeni u potpunosti u skladu sa tehničkim propisima za ovu vrstu radova i dobrim uzancama struke.
Svi materijali koji se upotrebljavaju moraju odgovarati hrvatskim standardima i normama ili jednakovrijednim, važećim normama u RH ili jednakovrijednim, te prije početka izvođenja njihove ateste, certifikate i izjave o sukladnosti predočiti nadzornom inženjeru. Oni materijali koji nisu obuhvaćeni hrvatskim standardima i normama moraju biti atestirani od strane drugih ovlaštenih ustanova za namjenu za koju se koriste, te također rezultate ispitivanja istih predočiti nadzornom inženjeru prije početka izvođenja radova.
Nije dozvoljen početak ugradbe materijala prije predočenja važećih atesta i certifikata.
</t>
  </si>
  <si>
    <t xml:space="preserve">Izvoditelj radova iz ovog poglavlja dužan je permanentno primjenjivati sve mjere zaštite na radu u smislu hrvatskih zakona i propisa.
Svaka stavka ovog troškovnika smatra se završenom isključivo ako je kompletno izvedena i dovedena do pune funkcionalnosti, pa u smislu toga jedinačna i ukupna cijena trebaju sadržavati sljedeće:
 - kompletna mobilizacija i demobilizacija gradilišta
 - pregled gradilišta odnosno objekta, te eventualno uzimanje mjera
 - izrada potrebne radioničke i tehničke dokumentacije
 - sve transporte izvan gradilišta
 - sve horizontalne i vertikalne transporte unutar gradilišta do mjesta ugradbe  
 - troškove skladištenja
 - sav potreban rad i materijal bilo pomoćni ili osnovni
 - potrebne skele ili montažne dizalice za montažu dizala
 - troškove svih potrebnih energenata (struja, voda, plin i sl.)
 - svi vezani posredni i neposredni troškovi (doprinosi, porezi, prirezi, takse i sl.) 
 - troškovi osiguranja i čuvanja materijala, opreme i izvedenih radova do primopredaje
 - čišćenje radnog prostora nakon završetka svake faze rada te prijenos otpadnog materijala na gradsku deponiju
 - svi troškovi vezani za primjenu mjera zaštite na radu 
</t>
  </si>
  <si>
    <t>Materijali
Pod tim se podrazumijeva sama cijena materijala to jest dobavna cijena i to glavnih i pomočnih materijala, tako i veznog materijala i ostalo. U tu cijenu potrebno je uključiti cijenu prijevoza bez obzira na vrstu prijevoznog sredstva, udaljenost sa svim potrebnim utovarima, istovarima i prenosom do skladišta te prenosa do mjesta ugradnje. Nadalje uključiti cijenu čuvanja, zaštite i skladištenja materijala do ugradnje.
Rad
U kalkulaciji rada treba uključiti sav potreban rad, kako glavni tako i pomoćni, te sav vanjski i unutarnji prijenos bilo ručni bilo pomoću strojeva. Skele ili dizalica za montažu opreme u bez obzira na visinu, ulaze u jediničnu cijenu dotične stavke  troškovnika.
Izmjere
Ukoliko u pojedinoj stavci troškovnika nije dat način obračuna radova, isti se obračunava prema važečim građevinskim normama u upotrebi u Republici Hrvatskoj. Kod paušala izvođač mora sam procijeniti vrijednost pojedinih stavaka koje se obračunavaju u paušalu, te isti izvesti bez prava na dodatne iznose za te stavke. Ukoliko je u troškovniku nešto nejasno treba tražiti dodatna pojašnjenja od naručitelja prije davanja ponude, jer se kasniji prigovori neće uzeti u obzir, kao niti priznati bilo kakvi dodatni troškovi.</t>
  </si>
  <si>
    <t xml:space="preserve">Radovi sa pripadajućom opremom se smatraju završenim i predanim investitoru tek nakon izvršenog tehničkog pregleda i potpisanog adekvatnog zapisnika u tom smislu.
Ukoliko je u troškovniku nešto nejasno treba tražiti dodatna pojašnjenja od glavnog projektanta prije davanja ponude, jer se kasniji prigovori neće uzeti u obzir, kao niti priznati bilo kakvi dodatni troškovi.
</t>
  </si>
  <si>
    <t xml:space="preserve">Svi ponuditelji prije davanja ponude moraju obići mjesto rada, te sagledati mogućnost i način izvođenja radova.
Također svi ponuditelji prije davanja ponude detaljno proučiti tehničku dokumentaciju i izvršiti konzultacije sa glavnim projektantom u smislu pojašnjenja svih tehničkih detalja.
</t>
  </si>
  <si>
    <r>
      <t xml:space="preserve">OBVEZA IZVODITELJA GRAĐEVINSKO-OBRTNIČKIH RADOVA:
Prednju stijenu voznog okna dizala izvesti u visak (dozvoljena tolerancija  ±0,5 cm), kako bi se vatrootporna vrata pri ugradnji prislonila na prednju stijenu voznog okna, bez pojave zazora (fuga). Ukoliko se prednja stijena NE izvede kako je navedeno i nakon ugradnje se pojave zazori (fuge) prema voznom oknu, Izvoditelj radova će izvesti vatrootporno brtvljenje zazora (fuga) sukladno odredbama Prikaza mjera/Elaborata zaštite od požara. Izvesti vatrootporno brtvljenje prodora el. instalacija u vozno okno dizala oko el. instalacije za pozivne kutije, pokazivače položaja i sl.
</t>
    </r>
    <r>
      <rPr>
        <b/>
        <sz val="10"/>
        <rFont val="Calibri"/>
        <family val="2"/>
        <charset val="238"/>
        <scheme val="minor"/>
      </rPr>
      <t>Dimenzije i pozicija otvora za odimljavanje/ventilaciju izvodi se sukladno Prikazu mjera/Elaboratu zaštite od požara.</t>
    </r>
  </si>
  <si>
    <t>II.</t>
  </si>
  <si>
    <t>TROŠKOVNIK VERTIKALNOG TRANSPORTA</t>
  </si>
  <si>
    <t>UKUPNO RADOVI VERTIKALNOG TRANSPORTA DIZALA D</t>
  </si>
  <si>
    <t>Izrada radioničko-tehničke dokumentacije dizala prema stvarnim izmjerama na građevini, prema ponuđenoj i ugovorenoj opremi i zatraženoj suglasnosti od glavnog projektanta i projektanta dizala u 4 mape:</t>
  </si>
  <si>
    <t>Izrada i dobava dijelova dizala prema glavnom projektu, ponudi, ugovoru i izmjerama na građevini i slijedećem opisu:</t>
  </si>
  <si>
    <t xml:space="preserve">
Vrsta dizala:  osobno prema HRN EN 81-20 + EN 81-21 + EN 81-70 + EN 81-73 ili jednakovrijedno
Vrsta pogona dizala:  sinkroni električni bezreduktorski pogonski stroj snage 5,0 kW ±5%, minimalno 180 uključivanja/sat
Tip dizala:  električno dizalo na užad bez posebne strojarnice
Nosivost dizala:  680 kg / 8 osoba ±5%
Brzina vožnje:  min. 0,9 - max. 1,1 m/s, frekvencijska regulacija
Visina dizanja:  11,76 m ±3%
Broj postaja:  4
Broj ulaza:  4 – ulazi sa iste strane
Vrsta upravljanja:  mikroprocesorsko, simpleks – sabirno, baterija za automatsko dovođenje kabine dizala u najbližu stanicu u slučaju nestanka mrežnog napona
Signalizacija na svim postajama:
 optički signal potvrde prijema poziva, digitalni optički pokazivač položaja kabine i strelice smjera daljnje vožnje, zvučni signal dolaska kabine u stanicu, signalizacija na Braille pismu
Signalizacija u kabini:
 optički signal potvrde prijema naredbe, digitalni optički pokazivač položaja kabine i strelice smjera daljnje vožnje, govorna veza, zvučni signal preopterećenja kabine, zvučni signal “alarm”, dvosmjerna komunikacija sa spasilačkom službom (telealarm – GSM uređaj putem SIM kartice), signalizacija na Braille pismu
Instalacija:  za unutarnji/suhi prostor
Napon pogonskog el. motora:  3 x 400 / 230 V , 50 Hz
Napon upravljanja:  24 V
</t>
  </si>
  <si>
    <t xml:space="preserve">
Vozno okno: - izvedba  čelična konstrukcija (u obvezi Naručitelja)
- širina  1700 mm ±3%
- dubina  1700 mm ±3%
- dubina jame  1100 mm ±3%
- nadvišenje  2596 mm ±3%
Vrata voznog okna: - vrsta  dvokrilna automatska teleskopska
 - širina  900 mm ±3%
 - visina  2000 mm ±3%
 - materijal  staklo
 - završna obrada  maksimalno ostakljena u okviru od inox satina
 - vatrootpornost  nisu izvedena kao vatrootporna
Kabina dizala: - širina  1200 mm ±3%
 - dubina  1400 mm ±3%
 - visina  2100 mm ±3%
 - izvedba  čelična konstrukcija
 - završna obrada - stranice:  maksimalno ostakljene u okviru od inox satina
- prednja stijena:  maksimalno ostakljena u okviru od inox satina
- stražnja stijena:  maksimalno ostakljena u okviru od inox satina
- strop:  strop 07 (s točkastom rasvjetom) inox satin
- parapet: inox satin
- pod:  laminirana porculanska ploča d=5.5 mm na flex. ljepilu
 - oprema  rukohvat K2 inox satin, ventilator; svi vanjski vidljivi elementi i oprema dizala obrada RAL 9016 mat (traffic white)
 - rasvjeta  LED
 - nužna rasvjeta  iz nezavisnog izvora
 - okvir kabine  za ovjes 2:1, nosivost dizala 680 kg ±5% i
brzinu vožnje 1,0 m/s
 - zahvatna naprava  s postupnim djelovanjem
</t>
  </si>
  <si>
    <t xml:space="preserve">
Vrata kabine: - vrsta  dvokrilna automatska teleskopska
 - širina  900 mm ±3%
 - visina  2000 mm ±3%
 - materijal  staklo
 - završna obrada  maksimalno ostakljena u okviru od inox satina
 - osiguranje  svjetlosna zavjesa
Okvir kabine:  komplet za dizalo na užad
Ovjes kabine:  2 : 1
Protuuteg:  čelična konstrukcija s elementima za ispunu
Konzole i pribor za učvršćenje vodilica kabine i protuutega: specijalna izvedba za prihvat horizontalnih sila
Smještaj strojarnice dizala:  dizalo bez strojarnice
Smještaj pogonskog stroja:  na vodilici u vrhu voznog okna
Grupa upravljanja za simpleks – sabirno upravljanje, požarni režim rada
</t>
  </si>
  <si>
    <t>Montaža  i ugradnja dijelova dizala u funkcionalnu cjelinu prema glavnom i izvedbenom projektu na građevini:</t>
  </si>
  <si>
    <t>Tehničko ispitivanje ugrađenog dizala i predaja dizala sa kompletnom zakonima definiranom dokumentacijom korisniku:</t>
  </si>
  <si>
    <t>UKUPNO RADOVI VERTIKALNOG TRANSPORTA DIZALA D (BEZ PDV-a)</t>
  </si>
  <si>
    <t>RADOVI VERTIKALNOG TRANSPORTA</t>
  </si>
  <si>
    <t>RADOVI VERTIKALNOG TRANSPORTA - DIZALA UKUPNO:</t>
  </si>
  <si>
    <t>E.</t>
  </si>
  <si>
    <t>E</t>
  </si>
  <si>
    <t>TROŠKOVNIK VERTIKALNOG TRANSPORTA - DIZALA UKUPNO</t>
  </si>
  <si>
    <r>
      <rPr>
        <b/>
        <sz val="18"/>
        <color indexed="10"/>
        <rFont val="Arial CE"/>
        <charset val="238"/>
      </rPr>
      <t>APIN</t>
    </r>
    <r>
      <rPr>
        <b/>
        <sz val="18"/>
        <rFont val="Arial CE"/>
        <charset val="238"/>
      </rPr>
      <t xml:space="preserve"> PROJEKT d.o.o.</t>
    </r>
    <r>
      <rPr>
        <sz val="10"/>
        <rFont val="Arial CE"/>
        <family val="2"/>
        <charset val="238"/>
      </rPr>
      <t xml:space="preserve">
</t>
    </r>
    <r>
      <rPr>
        <sz val="8"/>
        <rFont val="Arial CE"/>
        <charset val="238"/>
      </rPr>
      <t>za projektiranje, gradnju i trgovinu
Tel: +385 1 3870528  -  Fax: +385 1 3870529  -  www.apin.hr 
Ožujska 8, 10000 Zagreb, OIB 03073221751, Žiro račun: PBZ 2340009-1110309292</t>
    </r>
    <r>
      <rPr>
        <sz val="10"/>
        <rFont val="Arial CE"/>
        <family val="2"/>
        <charset val="238"/>
      </rPr>
      <t xml:space="preserve">
</t>
    </r>
  </si>
  <si>
    <t>INVESTITOR:</t>
  </si>
  <si>
    <t xml:space="preserve">HRVATSKI INSTITUT ZA POVIJEST
Opatička 10, Zagreb
</t>
  </si>
  <si>
    <t>GRAĐEVINA:</t>
  </si>
  <si>
    <t>POSTOJEĆA GRAĐEVINA JAVNE I DRUŠTVENE
NAMJENE - PALAČA BOGOŠTOVLJA I NASTAVE                         Opatička 10, Zagreb</t>
  </si>
  <si>
    <t>BROJ PROJEKTA:</t>
  </si>
  <si>
    <t>2209-24</t>
  </si>
  <si>
    <t>ZOP:</t>
  </si>
  <si>
    <t>04/24/GP</t>
  </si>
  <si>
    <t>FAZA PROJEKTA:</t>
  </si>
  <si>
    <t>GLAVNI PROJEKT</t>
  </si>
  <si>
    <r>
      <t xml:space="preserve">TROŠKOVNIK
</t>
    </r>
    <r>
      <rPr>
        <b/>
        <sz val="5"/>
        <rFont val="Arial CE"/>
        <charset val="238"/>
      </rPr>
      <t xml:space="preserve">
</t>
    </r>
    <r>
      <rPr>
        <b/>
        <sz val="14"/>
        <rFont val="Arial CE"/>
        <charset val="238"/>
      </rPr>
      <t>PROTUPOŽARNIH SUSTAVA</t>
    </r>
  </si>
  <si>
    <t>Projektant:</t>
  </si>
  <si>
    <t>Branimir Cindori, dipl. ing. str.</t>
  </si>
  <si>
    <t>Direktor:</t>
  </si>
  <si>
    <t>Zagreb, veljača 2025.</t>
  </si>
  <si>
    <t>0. OPĆI UVJETI IZVEDBE STABILNIH SUSTAVA ZA GAŠENJE POŽARA</t>
  </si>
  <si>
    <t>0.1.</t>
  </si>
  <si>
    <t>U jediničnoj cijeni se uračunava sve dolje navedeno kao i ono što je navedeno u UVJETIMA, ako je iz bilo kojeg razloga ovdje izostavljeno.</t>
  </si>
  <si>
    <t>.</t>
  </si>
  <si>
    <t>0.2.</t>
  </si>
  <si>
    <t>Sav materijal mora imati oznaku CE ili jednakovrijedno i pripadajuću izjavu o sukladnosti.</t>
  </si>
  <si>
    <t>0.3.</t>
  </si>
  <si>
    <t>Sva ispitivanja (tlačne probe, funkcionalna ispitivanja sustava, ispitivanja ugrađene opreme, ispitivanje zrakonepropusnosti štićenih prostora plinskim sustavom gašenja) moraju biti uključena u jediničnoj cijeni jer time dokazuju da su radovi izvedeni u traženoj kvaliteti.</t>
  </si>
  <si>
    <t>1. OPĆI UVJETI IZVEDBE SPRINKLER SUSTAVA I SUSTAVA VODENE MAGLE</t>
  </si>
  <si>
    <t>Instalaciju treba izvesti prema nacrtima i tehničkom opisu u projektu, važećim hrvatskim propisima, tehničkim propisima prema kojima je instalacija projektirana i pravilima struke.</t>
  </si>
  <si>
    <t>Tehničke karakteristike opreme mogu odstupati ±3%.</t>
  </si>
  <si>
    <t>Po završetku ugovorenih radova a prije početka korištenja odnosno stavljanja instalacije u pogonsko stanje instalaciju treba zapisnički pustiti u rad.</t>
  </si>
  <si>
    <t>Prije stavljanja instalacije u rad treba napraviti obuku krajnjeg korisinika ili ugovoriti održavanje instalacije sa ovlaštenim servisom.</t>
  </si>
  <si>
    <t>Preglede instalacije treba vršiti sukladno zidnim uputama i knjizi rukovanja i održavanja sprinkler sustava. Jednom godišnje treba ishoditi uvjerenje o funkcionalnosti sustava od ovlaštene pravne osobe.</t>
  </si>
  <si>
    <t>2. OPĆI UVJETI IZVEDBE SUSTAVA SA SREDSTVOM FK-5-1-12</t>
  </si>
  <si>
    <t>Instalaciju treba izvesti prema nacrtima, hidrauličkim proračunima i tehničkom opisu u projektu, važećim propisima, tehničkim propisima prema kojima je instalacija projektirana i pravilima struke.</t>
  </si>
  <si>
    <t>Za promjene i odstupanja od projekta mora se pribaviti pismena suglasnost projektanta i nadzornog inženjera.</t>
  </si>
  <si>
    <t>Izvođač je dužan prije početka radova projekt provjeriti na licu mjesta i za eventualna odstupanja konzultirati projektanta.</t>
  </si>
  <si>
    <t>Izvoditelj se obvezuje da će redovito upisivati u građevinski dnevnik sve potrebne podatke, koje je obvezan upisivati i da će osobi ovlaštenoj za vršenja nadzora omogućiti svakodnevno uvid u građevinski dnevnik.</t>
  </si>
  <si>
    <t>Prije stavljanja instalacije u rad treba napraviti obuku krajnjeg korisnika ili ugovoriti održavanje instalacije sa ovlaštenim servisom.</t>
  </si>
  <si>
    <t>Preglede instalacije treba vršiti sukladno zidnim uputama i knjizi rukovanja i održavanja sustava sa FK-5-1-12. Jednom godišnje treba ishoditi uvjerenje o funkcionalnosti sustava.</t>
  </si>
  <si>
    <t>3. CERTIFIKATI I KVALITETA UGRAĐENE OPREME I RADOVA</t>
  </si>
  <si>
    <t>Sav materijal za izvedbu radova sprinkler sustava obavezan je izvođač dobaviti  prema specifikaciji materijala u projektnoj dokumentaciji a u skladu sa važećim zakonskim propisima.</t>
  </si>
  <si>
    <t>Sav materijal koji se upotrijebljava tijekom gradnje treba odgovarati hrvatskim standardima, a sva oprema za koju je propisom VdS reguliran VdS certifikat treba posjedovati isti ili jednakovrijedan. Odstupanje od navedenog treba odobriti projektant i nadzorni inženjer.</t>
  </si>
  <si>
    <t>Sva ugrađena oprema treba svojom kvalitetom i tehničkim karakteristikama odgovarati referentnoj opremi navedenoj u troškovniku pod stavkom "kvaliteta proizvoda kao:". Odstupanje od projektirane opreme u kvaliteti treba procijeniti i odobriti nadzorni inženjer i projektant. Za navedeni postupak potrebno je projektantu i nadzornom inženjeru dostaviti tehničke karakteristike zamjenske opreme i certifikate .</t>
  </si>
  <si>
    <t>Sva protupožarna oprema treba posjedovati uvjerenja o ispravnosti i podobnosti izdana od ovlaštene pravne osobe.</t>
  </si>
  <si>
    <t>Pored materijala i sam rad mora biti kvalitetno izveden, a sve što bi se u toku rada i poslije pokazalo nekvalitetno izvođač je dužan u svom trošku ispraviti.</t>
  </si>
  <si>
    <t>3.6.</t>
  </si>
  <si>
    <t>Cijela instalacija mora biti izvedena potpuno nepropusno o čemu izvoditelj jamči s odgovarajućim zapisnicima o izvršenoj tlačnoj probi.</t>
  </si>
  <si>
    <t>3.7.</t>
  </si>
  <si>
    <t>Cijela instalacija mora biti isprana o čemu izvoditelj jamči s odgovarajućim zapisnicima o izvršenom ispiranju cjevovoda.</t>
  </si>
  <si>
    <t>4. TEHNOLOŠKI UVJETI IZRADE INSTALACIJE</t>
  </si>
  <si>
    <t>Prije ugradnje, cijevi je potrebno očistiti iznutra. Također nakon ugradnje cjevovoda, a prije montaže mlaznica cjevovod treba temeljito isprati.</t>
  </si>
  <si>
    <t>Prije nego se priđe polaganju cijevi mora se izvršiti točno razmjeravanje i obilježavanje na zidu i stropovima.</t>
  </si>
  <si>
    <t>Prije ugradnje mlaznica paziti na minimalno zahtijevane udaljenosti mlaznica od stropa. Raspored mlaznica izvesti u skladu sa projektom i propisima, po kojima je instalacija projektirana.</t>
  </si>
  <si>
    <t>Cjevovodi vodene magle će biti pocinčani (HRN EN 10220 i HRN EN 10255 ili jednakovrijedno). 
Cjevovodi mokre sprinkler mreže će biti crni (HRN EN 10220 i HRN EN 10255 ili jednakovrijedno). 
Cjevovodi trebaju biti minimalno barem normalne debljine stijenke.</t>
  </si>
  <si>
    <t>4.5.</t>
  </si>
  <si>
    <t>Cjevovode po HRN EN 10255 ili jednakovrijedno dozvoljeno je spajati navojnim spojevima i utornim spojevima. 
Cjevovode po HRN EN 10220 ili jednakovrijedno dozvoljeno je spajati isključivo utornim spojevima.</t>
  </si>
  <si>
    <t>4.6.</t>
  </si>
  <si>
    <t>Nije dozvoljeno zavarivati cjevovode na gradilištu, a predpriprema zavarivanjem cjevovoda u pogonu je dozvoljeno sukladno propisima (vrsta postupka zavarivanja, oznaka zavara, kontrola kvalitete zavara, ...).</t>
  </si>
  <si>
    <t>4.7.</t>
  </si>
  <si>
    <t>Za izradu cjevovoda kuhinjskog sustava predviđene su cijevi od nehrđajućeg čelika kao i svi spojni fitinzi. Spajanje cjevovoda ja navojno. Brtvljenje spojeva izvoditi se teflonskom trakom.
Cjevovod za vođenje nehrđajuće čelične sajle u sustavu dojave izvesti iz tankostjenih nehrđajućih cijevi. Spojevi cijevi za vođenje se izvode sa specijalnim fitinzima za vođenje sajle. Nije dozvoljeno drugačije spajanje.</t>
  </si>
  <si>
    <t>5. ZAŠTITA NA RADU</t>
  </si>
  <si>
    <t>Izvođač radova je dužan prije početka radova napraviti Plan uređenja radilišta i imenovati osobu zaduženu za zaštitu na radu na radilištu.</t>
  </si>
  <si>
    <t xml:space="preserve">Izvođač radova je dužan prije početka radova obavijestiti inspekciju rada o početku radova. </t>
  </si>
  <si>
    <t>Izvođač radova je dužan koristiti zaštitnu opremu i osobna zaštitna sredstva.</t>
  </si>
  <si>
    <t>Izvođač radova se je dužan pridržavati svih pravila koja proizlaze iz zakonske regulative u području zaštite na radu.</t>
  </si>
  <si>
    <t>1. SPRINKLER STANICA - STROJARSKI DIO</t>
  </si>
  <si>
    <t>Alarmna ventilska stanica sustava vodene magle NO80, NP16 koja se sastoji od:
  - alarmnog ventila NO80
  - leptiraste zaklopke sa indikacijom otvorenosti NO80 (ispred i iza sprinkler ventila)
  - pripadajućom armaturom
  - alarmnim tlačnim sklopkama
- certifikati: VdS ili jednakovrijedno</t>
  </si>
  <si>
    <t>Ventilska stanica "Selector set" sustava vodene magle NO80, NP16 koja se sastoji od:
  - "Selector" ventila NO80,
  - leptiraste zaklopke sa indikacijom otvorenosti NO80
  - tampon bocom, 
  - manometrima, 
  - pripadajućom armaturom
  - alarmnim tlačnim sklopkama
- certifikati: VdS ili jednakovrijedno</t>
  </si>
  <si>
    <t xml:space="preserve">Alarmno zvono
- tip: hidrauličko 
- dimenzija: 3/4"
- certifikati: VdS ili jednakovrijedno
Cijeli komplet se sastoji od alarmnog zvona, hvatača nečistoća 3/4" i pripadajućih holendera. </t>
  </si>
  <si>
    <t>Dobava, transport i montaža:
Pumpa za sustav vodene magle slijedećih karakteristika:
  - napajanje 35 kW
  - 600 l/min @ 95 m (±3%)
- certifikati: VdS ili jednakovrijedan</t>
  </si>
  <si>
    <t>Komplet za održavanje tlaka u sustavu vodene magle koji se sastoji od:
  - pumpe za održavanje tlaka snage min. 2,2 kW, 
  - pripadnih ventila NO50,
  - pripadnog pocinčanog cjevovoda NO50,
  - kompenzacione posude,
  - tlačne sklopke sa priadnim manometrom i 
    troputnim ventilom
  - kompletom za održavanje tlaka u sustavu
  - hvatača nečistoća NO50 za sustav vodene magle
    (mrežica sa rupama 2,5 mm)
- certifikati: VdS ili jednakovrijedan</t>
  </si>
  <si>
    <t>Komplet za dopunjavanje bazena vodom NO50 koji se sastoji od:
  - leptirasta zaklopka NO50 sa indikacijom 
    otvorenosti (kom. 3),
  - ventila s plovkom (kom. 2),
  - hvatača nečistoća NO50 za sustav vodene magle
    (mrežica sa rupama 2,5 mm)
  - pripadujući pocinčani cjevovod sa spojnim materijalom 
    i ovjesom
- certifikati: VdS ili jednakovrijedan</t>
  </si>
  <si>
    <t>Komplet ispitnog cjevovoda koji se sastoji od:
  - pocinčanog cjevovoda NO100 duljine 12 m, 
  - zasunom sa indikacijom otvorenosti NO100,
  - međuprirubničkim cijevnim elementima,
  - mjernom blendom NO100 za sustav vodene magle
  - bypassom oko zasuna
  - prestrujnim ventilom 3/4" u cjevovodu bypassa
- certifikati: VdS ili jednakovrijedan</t>
  </si>
  <si>
    <t>Leptir ventil
- nazivni pritisak: NP10
- dimenzija: NO100
- spoj na cjevovod: utorni
- vrsta: sa električnom i vizualnom kontrolom otvorenosti
- certifikati: VdS ili jednakovrijedno
Cijeli komplet se sastoji od leptir ventila, mikrosklopke i utornih spojki.</t>
  </si>
  <si>
    <t>Leptir ventil
- nazivni pritisak: NP10
- dimenzija: NO50
- spoj na cjevovod: utorni
- vrsta: sa električnom i vizualnom kontrolom otvorenosti
- certifikati: VdS ili jednakovrijedno
Cijeli komplet se sastoji od leptir ventila, mikrosklopke i utornih spojki.</t>
  </si>
  <si>
    <t>Ventil za vodu
- nazivni pritisak: NP10
- dimenzija: 5/4"
- spoj na cjevovod: navojni
Cijeli komplet se sastoji od ventila i holendera.</t>
  </si>
  <si>
    <t>Ventil za vodu
- nazivni pritisak: NP10
- dimenzija: 1/2"
- spoj na cjevovod: navojni
Cijeli komplet se sastoji od ventila i holendera.</t>
  </si>
  <si>
    <t>Nepovratni ventil
- nazivni pritisak: NP10
- dimenzija: NO100
- spoj na cjevovod: utorni
- certifikati: VdS ili jednakovrijedno
Cijeli komplet se sastoji od nepovratnog ventila i utornih spojki.</t>
  </si>
  <si>
    <t>Hvatač nečistoća za sustav vodene magle (mrežica sa rupama 2,5 mm)
- nazivni pritisak: NP10
- dimenzija: NO80
- spoj na cjevovod: utorni
- certifikati: VdS ili jednakovrijedno
Cijeli komplet se sastoji od hvatača nečistoća i utornih spojki.</t>
  </si>
  <si>
    <t>1.14.</t>
  </si>
  <si>
    <t>Protuvrtložna ploča za potponu pumpu</t>
  </si>
  <si>
    <t>1.15.</t>
  </si>
  <si>
    <t xml:space="preserve">Stabilna spojka
- nazivna dimenzija: 2 1/2"
- vrsta: tip B
</t>
  </si>
  <si>
    <t>1.16.</t>
  </si>
  <si>
    <t xml:space="preserve">Slijepa spojka
- nazivna dimenzija: 2 1/2"
- vrsta: tip B
</t>
  </si>
  <si>
    <t>1.17.</t>
  </si>
  <si>
    <t xml:space="preserve">Natpisna pločica od aloksiranog aluminija, s ugraviranim natpisom: 
"PRIKLJUČAK SPRINKLER SUSTAVA NA VATROGASNO VOZILO"
</t>
  </si>
  <si>
    <t>1.18.</t>
  </si>
  <si>
    <t xml:space="preserve">Manometarski priključak koji se sastoji od:
- Manometar 0-16 bar, Ø100mm, 1/2"
- Ventil kuglasti troputi s T pozicijom, 1/2"
- Cijevni nastavak 1/2" duljine 50 mm
</t>
  </si>
  <si>
    <t>1.19.</t>
  </si>
  <si>
    <t xml:space="preserve">Manometarski priključak koji se sastoji od:
- Manometar 0-16 bar, punjen glicerinom, Ø100mm, 1/2"
- Ventil kuglasti troputi s T pozicijom, 1/2"
- Cijevni nastavak 1/2" duljine 50 mm
</t>
  </si>
  <si>
    <t>1.20.</t>
  </si>
  <si>
    <t xml:space="preserve">Priključak za tlačnu sklopku koji se sastoji od:
- Manometar 0-16 bar, Ø100mm, 1/2"    
- Ventil kuglasti troputi s T pozicijom, 1/2" 
- Tlačna sklopka 1/2"
- Pocinčani T komad 1/2" 
- Pocinčani nipl 1/2" 
- Pocinčano koljeno 1/2" 
</t>
  </si>
  <si>
    <t>1.21.</t>
  </si>
  <si>
    <r>
      <t xml:space="preserve">Cijev
- vrsta: čelična, pocinčana, šavna
- dimenzija: 3/4"
- standard: HRN EN 10255 ili jednakovrijedno
- ispitni tlak: 50 bar
- način spajanja: navojno
U kompletu sa fitinzima (kolčaci, koljena, T komadi, redukcije i ostali fitinzi)
</t>
    </r>
    <r>
      <rPr>
        <i/>
        <sz val="9"/>
        <rFont val="Arial"/>
        <family val="2"/>
        <charset val="238"/>
      </rPr>
      <t>Napomena: 
Fitinzi su uključeni u cijenu po metru cijevi.</t>
    </r>
  </si>
  <si>
    <t>1.22.</t>
  </si>
  <si>
    <r>
      <t xml:space="preserve">Cijev
- vrsta: čelična, pocinčana, šavna
- dimenzija: 1"
- standard: HRN EN 10255 ili jednakovrijedno
- ispitni tlak: 50 bar
- način spajanja: navojno
U kompletu sa fitinzima (kolčaci, koljena, T komadi, redukcije i ostali fitinzi)
</t>
    </r>
    <r>
      <rPr>
        <i/>
        <sz val="9"/>
        <rFont val="Arial"/>
        <family val="2"/>
        <charset val="238"/>
      </rPr>
      <t>Napomena: 
Fitinzi su uključeni u cijenu po metru cijevi.</t>
    </r>
  </si>
  <si>
    <t>1.23.</t>
  </si>
  <si>
    <t xml:space="preserve">Cijev
- vrsta: čelična, pocinčana, šavna
- dimenzija: NO50
- standard: HRN EN 10220/10255 ili jednakovrijedno
- ispitni tlak: 50 bar
- način spajanja: utorno / navojno
U kompletu sa utornim spojkama i cijevnim fitinzima (koljena, T komadi, redukcije i ostali fitinzi)
Napomena: 
Utorne spojke i fitinzi su uključeni u cijenu po metru cijevi.
</t>
  </si>
  <si>
    <t>1.24.</t>
  </si>
  <si>
    <t xml:space="preserve">Cijev
- vrsta: čelična, pocinčana, šavna
- dimenzija: NO65
- standard: HRN EN 10220/10255 ili jednakovrijedno
- ispitni tlak: 50 bar
- način spajanja: utorno / navojno
U kompletu sa utornim spojkama i cijevnim fitinzima (koljena, T komadi, redukcije i ostali fitinzi)
Napomena: 
Utorne spojke i fitinzi su uključeni u cijenu po metru cijevi.
</t>
  </si>
  <si>
    <t>1.25.</t>
  </si>
  <si>
    <t xml:space="preserve">Cijev
- vrsta: čelična, pocinčana, šavna
- dimenzija: NO80
- standard: HRN EN 10220/10255 ili jednakovrijedno
- ispitni tlak: 50 bar
- način spajanja: utorno / navojno
U kompletu sa utornim spojkama i cijevnim fitinzima (koljena, T komadi, redukcije i ostali fitinzi)
Napomena: 
Utorne spojke i fitinzi su uključeni u cijenu po metru cijevi.
</t>
  </si>
  <si>
    <t>1.26.</t>
  </si>
  <si>
    <t xml:space="preserve">Cijev
- vrsta: čelična, pocinčana, šavna
- dimenzija: NO100
- standard: HRN EN 10220/10255 ili jednakovrijedno
- ispitni tlak: 50 bar
- način spajanja: utorno / navojno
U kompletu sa utornim spojkama i cijevnim fitinzima (koljena, T komadi, redukcije i ostali fitinzi)
Napomena: 
Utorne spojke i fitinzi su uključeni u cijenu po metru cijevi.
</t>
  </si>
  <si>
    <t>1.27.</t>
  </si>
  <si>
    <t>Ovjesni i konzolni materijal koji uključuje sav potreban materijal za pričvršćenje cjevovoda sukladno propisu:
- dimenzija cjevovoda: 3/4"
- završna obrada: pocinčan
- certifikati: VdS ili jednakovrijedno</t>
  </si>
  <si>
    <t>1.28.</t>
  </si>
  <si>
    <t>Ovjesni i konzolni materijal koji uključuje sav potreban materijal za pričvršćenje cjevovoda sukladno propisu:
- dimenzija cjevovoda: 1"
- završna obrada: pocinčan
- certifikati: VdS ili jednakovrijedno</t>
  </si>
  <si>
    <t>1.29.</t>
  </si>
  <si>
    <t>Ovjesni i konzolni materijal koji uključuje sav potreban materijal za pričvršćenje cjevovoda sukladno propisu:
- dimenzija cjevovoda: NO50
- završna obrada: pocinčan
- certifikati: VdS ili jednakovrijedno</t>
  </si>
  <si>
    <t>1.30.</t>
  </si>
  <si>
    <t>Ovjesni i konzolni materijal koji uključuje sav potreban materijal za pričvršćenje cjevovoda sukladno propisu:
- dimenzija cjevovoda: NO65
- završna obrada: pocinčan
- certifikati: VdS ili jednakovrijedno</t>
  </si>
  <si>
    <t>1.31.</t>
  </si>
  <si>
    <t>Ovjesni i konzolni materijal koji uključuje sav potreban materijal za pričvršćenje cjevovoda sukladno propisu:
- dimenzija cjevovoda: NO80
- završna obrada: pocinčan
- certifikati: VdS ili jednakovrijedno</t>
  </si>
  <si>
    <t>1.32.</t>
  </si>
  <si>
    <t>Ovjesni i konzolni materijal koji uključuje sav potreban materijal za pričvršćenje cjevovoda sukladno propisu:
- dimenzija cjevovoda: NO100
- završna obrada: pocinčan
- certifikati: VdS ili jednakovrijedno</t>
  </si>
  <si>
    <t>1.33.</t>
  </si>
  <si>
    <t>Gumeni element za brtvljenje prodora u akumulacijski spremnik:
- dimenzija cjevovoda: NO50
U kompletu sa bušenjem betonskog zida spremnika akumulacijskog spremnika.</t>
  </si>
  <si>
    <t>1.34.</t>
  </si>
  <si>
    <t>Gumeni element za brtvljenje prodora u akumulacijski spremnik:
- dimenzija cjevovoda: NO100
U kompletu sa bušenjem betonskog zida spremnika akumulacijskog spremnika.</t>
  </si>
  <si>
    <t>1.35.</t>
  </si>
  <si>
    <t>Zidna uputa - "Mokra" ventilska stanica vodene magle</t>
  </si>
  <si>
    <t>1.36.</t>
  </si>
  <si>
    <t>Zidna uputa - kaširana - kompletan sustav</t>
  </si>
  <si>
    <t>1.37.</t>
  </si>
  <si>
    <t>Knjiga uputa rukovanja i održavanja sprinkler sustava</t>
  </si>
  <si>
    <t>1.38.</t>
  </si>
  <si>
    <t>Sidreni vijci za pumpe, komplet s maticama i podloškama</t>
  </si>
  <si>
    <t>1.39.</t>
  </si>
  <si>
    <t>Materijal za brtvljenje cijevnih spojeva (teflonska traka ili kudelja i laneno ulje - kod cijevne spojnica specijalna mast za mazanje gumene brtve)</t>
  </si>
  <si>
    <t>1.40.</t>
  </si>
  <si>
    <t>Temeljna i završna boja (RAL 3000 ili jednakovrijedno)
- 2 premaza temeljne boje
- 2 premaza završne boje</t>
  </si>
  <si>
    <t>1.41.</t>
  </si>
  <si>
    <t>Bojanje crnog cjevovoda</t>
  </si>
  <si>
    <t>1.42.</t>
  </si>
  <si>
    <t>Transport opreme do gradilišta</t>
  </si>
  <si>
    <t>1.43.</t>
  </si>
  <si>
    <t>Podešavanje pumpi i puštanje u rad od strane ovlaštenog servisera</t>
  </si>
  <si>
    <t>1.44.</t>
  </si>
  <si>
    <t>Tlačna proba i ispiranje cjevovoda</t>
  </si>
  <si>
    <t>1.45.</t>
  </si>
  <si>
    <t>Podešavanje tlačnih sklopki, nivo sklopki</t>
  </si>
  <si>
    <t>1.46.</t>
  </si>
  <si>
    <t>Stavljanje sprinkler sustava u radno stanje</t>
  </si>
  <si>
    <t>1.47.</t>
  </si>
  <si>
    <t>Primopredaja instalacije, predaja atestne dokumentacije i obuka o rukovanju</t>
  </si>
  <si>
    <t>1.48.</t>
  </si>
  <si>
    <t>Funkcionalno ispitivanje sustava</t>
  </si>
  <si>
    <t>1.49.</t>
  </si>
  <si>
    <t>Dokumentacija izvedenog stanja (2 kopije)</t>
  </si>
  <si>
    <t>1.50.</t>
  </si>
  <si>
    <t>Montaža opreme specificirane u poglavlju 1.</t>
  </si>
  <si>
    <t>1. SPRINKLER STANICA - STROJARSKI DIO - UKUPNO</t>
  </si>
  <si>
    <t>2. SPRINKLER STANICA - ELEKTRO DIO</t>
  </si>
  <si>
    <t>Upravljački ormar glavne protupožarne pumpe vodene magle min. 37 kW, u kompletu sa svom automatikom za upravljanje glavnom pumpom i jockey pumpom
- certifikati: VdS ili jednakovrijedno</t>
  </si>
  <si>
    <t>Lokalna centrala za nadzor sustava, s minimalno 8 zona dojave, te s aku baterijom za 30 satni autonomni rad</t>
  </si>
  <si>
    <t>Nivo sonda</t>
  </si>
  <si>
    <t>Key guard</t>
  </si>
  <si>
    <t>Termostat sa alarmom @ 5°C</t>
  </si>
  <si>
    <t>Kabel PPOO 4x16 mm2</t>
  </si>
  <si>
    <t>Kabel PPOO 4x2,5 mm2</t>
  </si>
  <si>
    <t>2.8.</t>
  </si>
  <si>
    <t>Kabel PPOO 3x1,5 mm2</t>
  </si>
  <si>
    <t>2.9.</t>
  </si>
  <si>
    <t>Kabel JBY (St)Y 1x2x0.8</t>
  </si>
  <si>
    <t>2.10.</t>
  </si>
  <si>
    <t>Kabelska polica PK100 u kompletu s poklopcem i ostalim montažnim i pričvrsnim priborom</t>
  </si>
  <si>
    <t>2.11.</t>
  </si>
  <si>
    <t>Sitni montažni pribor i potreban materijal za montažu ovdje specificiranih kablova (vezice, uvodnice, PVC knalice, vijci, tiple)</t>
  </si>
  <si>
    <t>2.12.</t>
  </si>
  <si>
    <t>Transport navedene opreme do radilišta</t>
  </si>
  <si>
    <t>2.13.</t>
  </si>
  <si>
    <t>Montaža opreme specificirane u poglavlju 2.</t>
  </si>
  <si>
    <t>2. SPRINKLER STANICA - ELEKTRO DIO - UKUPNO</t>
  </si>
  <si>
    <t>3. SPRINKLER MREŽA</t>
  </si>
  <si>
    <t xml:space="preserve">Mlaznica niskotlačne vodene magle:
   - tip: viseća,
   - priključak: 1/2",
   - K faktor: K14,
   - temperatura aktiviranja: 68°C,
   - RTI faktor: fast response
   - Završna obrada: Cr
- certifikati: VdS ili jednakovrijedan </t>
  </si>
  <si>
    <t xml:space="preserve">Mlaznica niskotlačne vodene magle:
   - tip: stojeća,
   - priključak: 1/2",
   - K faktor: K14,
   - temperatura aktiviranja: 68°C,
   - RTI faktor: fast response
   - Završna obrada: Cr
- certifikati: VdS ili jednakovrijedan </t>
  </si>
  <si>
    <t xml:space="preserve">Savitljiva cijev (ili pocinčani fitinzi) za ugradnju sprinkler mlaznice na nivo spuštenog stropa:
- duljine 1200 mm, 
- promjer savitljive cijevi NO25,
- priključak na ogranak
- priključak na mlaznicu 1/2"
- u kompletu sa certificiranim ovjesom za savitljivu cijev  
- certifikati: VdS ili jednakovrijedno </t>
  </si>
  <si>
    <t>Priključak za ispiranje cjevovoda, koji se sastoji od:
- kuglastog ventila 2"
- pocinčanog čepa 2"</t>
  </si>
  <si>
    <t>Rozeta:
- materijal: metal
- tip: dvodjelna
- boja: bijela</t>
  </si>
  <si>
    <t>Priključak za ispitivanje sprinkler sustava</t>
  </si>
  <si>
    <t>Set kontrolora protoka, koji se sastoji od:
- leptiraste zaklopke slijedećih karakteristika:
     - nazivni pritisak: NP10
     - dimenzija: NO80
     - spoj na cjevovod: utorni
     - vrsta: sa električnom i vizualnom kontrolom otvorenosti
     - certifikati: VdS ili jednakovrijedno
- nepovratnog ventila slijedećih karakteristika:
     - nazivni pritisak: NP10
     - dimenzija: NO80
     - spoj na cjevovod: utorni
     - certifikati: VdS ili jednakovrijedno
- kontrolora protoka slijedećih karakteristika:
     - nazivni pritisak: NP10
     - dimenzija: NO80
     - certifikati: VdS ili jednakovrijedno
- ispitne pumpe kontrolora protoka slijedećih karakteristika:
     - napajanje: 185 W, 230 V
- sklopa za ispitivanje u kompletu sa kutijom i ključem 
U kompletu sa svim potrebnim fitinzima i ventilima.</t>
  </si>
  <si>
    <t>3.8.</t>
  </si>
  <si>
    <t xml:space="preserve">Cijev
- vrsta: čelična, pocinčana, šavna
- dimenzija: NO25
- standard: HRN EN 10255 ili jednakovrijedno
- ispitni tlak: 50 bar
- način spajanja: utorno / navojno
U kompletu sa utornim spojkama i cijevnim fitinzima (koljena, T komadi, redukcije i ostali fitinzi)
Napomena: 
Utorne spojke i fitinzi su uključeni u cijenu po metru cijevi.
</t>
  </si>
  <si>
    <t>3.9.</t>
  </si>
  <si>
    <t xml:space="preserve">Cijev
- vrsta: čelična, pocinčana, šavna
- dimenzija: NO32
- standard: HRN EN 10220/10255 ili jednakovrijedno
- ispitni tlak: 50 bar
- način spajanja: utorno / navojno
U kompletu sa utornim spojkama i cijevnim fitinzima (koljena, T komadi, redukcije i ostali fitinzi)
Napomena: 
Utorne spojke i fitinzi su uključeni u cijenu po metru cijevi.
</t>
  </si>
  <si>
    <t>3.10.</t>
  </si>
  <si>
    <t>3.11.</t>
  </si>
  <si>
    <t>3.12.</t>
  </si>
  <si>
    <t>Ovjesni i konzolni materijal koji uključuje sav potreban materijal za pričvršćenje cjevovoda sukladno propisu:
- dimenzija cjevovoda: NO25
- završna obrada: pocinčan
- certifikati: VdS ili jednakovrijedno</t>
  </si>
  <si>
    <t>3.13.</t>
  </si>
  <si>
    <t>Ovjesni i konzolni materijal koji uključuje sav potreban materijal za pričvršćenje cjevovoda sukladno propisu:
- dimenzija cjevovoda: NO32
- završna obrada: pocinčan
- certifikati: VdS ili jednakovrijedno</t>
  </si>
  <si>
    <t>3.14.</t>
  </si>
  <si>
    <t>3.15.</t>
  </si>
  <si>
    <t>3.16.</t>
  </si>
  <si>
    <t>Protupožarno brtvljenje prolaza sprinkler cjevovoda kroz granice požarnih sektora.
Brtvljenje izvesti certificiranim u Republici Hrvatskoj  brtvilima i postupcima ili jednakovrijednim. (Protupožano se brtve prolasci cjevovoda kroz granice požarnog sektora.)</t>
  </si>
  <si>
    <t>3.17.</t>
  </si>
  <si>
    <t>Bušenje rupa za prolaz sprinkler cjevovoda</t>
  </si>
  <si>
    <t>3.18.</t>
  </si>
  <si>
    <t>3.19.</t>
  </si>
  <si>
    <t>3.20.</t>
  </si>
  <si>
    <t>3.21.</t>
  </si>
  <si>
    <t>3.22.</t>
  </si>
  <si>
    <t>3.23.</t>
  </si>
  <si>
    <t>Montaža opreme specificirane u poglavlju 3.</t>
  </si>
  <si>
    <t>3. SPRINKLER MREŽA - UKUPNO</t>
  </si>
  <si>
    <t>4. FK 5-1-12  SUSTAV - STROJARSKI DIO</t>
  </si>
  <si>
    <t>Cilindrični spremnik radnog tlaka 50 bara s plinom FK-5-1-12, 140 l koji se sastoji od:
- stojećeg cilindra 140 l
- usponske cijevi
- automatski upravljanog ventila DN50
- punjenje spremnika je 112 kg plina FK-5-1-12</t>
  </si>
  <si>
    <t>Cilindrični spremnik radnog tlaka 50 bara s plinom FK-5-1-12, 140 l koji se sastoji od:
- stojećeg cilindra 140 l
- usponske cijevi
- automatski upravljanog ventila DN50
- punjenje spremnika je 93 kg plina FK-5-1-12</t>
  </si>
  <si>
    <t>Cilindrični spremnik radnog tlaka 50 bara s plinom FK-5-1-12, 140 l koji se sastoji od:
- stojećeg cilindra 140 l
- usponske cijevi
- automatski upravljanog ventila DN50
- punjenje spremnika je 86 kg plina FK-5-1-12</t>
  </si>
  <si>
    <t>Cilindrični spremnik radnog tlaka 50 bara s plinom FK-5-1-12, 80 l koji se sastoji od:
- stojećeg cilindra 80 l
- usponske cijevi
- automatski upravljanog ventila DN50
- punjenje spremnika je 58 kg plina FK-5-1-12</t>
  </si>
  <si>
    <t>Cilindrični spremnik radnog tlaka 50 bara s plinom FK-5-1-12, 80 l koji se sastoji od:
- stojećeg cilindra 80 l
- usponske cijevi
- automatski upravljanog ventila DN50
- punjenje spremnika je 52 kg plina FK-5-1-12</t>
  </si>
  <si>
    <t>Cilindrični spremnik radnog tlaka 50 bara s plinom FK-5-1-12, 80 l koji se sastoji od:
- stojećeg cilindra 80 l
- usponske cijevi
- automatski upravljanog ventila DN50
- punjenje spremnika je 48 kg plina FK-5-1-12</t>
  </si>
  <si>
    <t>Držač spremnika 140 l koji se sastoji od:
- anker vijaka (2 kom)
- pocinčane konzole 38/40 duljine 600 mm
- vijka, podloške i matice (2 kpl)</t>
  </si>
  <si>
    <t>4.8.</t>
  </si>
  <si>
    <t>Držač spremnika 80 l koji se sastoji od:
- anker vijaka (2 kom)
- pocinčane konzole 38/40 duljine 400 mm
- vijka, podloške i matice (2 kpl)</t>
  </si>
  <si>
    <t>4.9.</t>
  </si>
  <si>
    <t>Priključna visokotlačna gibljiva cijev DN50, 90°</t>
  </si>
  <si>
    <t>kom.</t>
  </si>
  <si>
    <t>4.10.</t>
  </si>
  <si>
    <t>Kontaktni manometar 50 bara</t>
  </si>
  <si>
    <t>4.11.</t>
  </si>
  <si>
    <t>Uređaj za električno aktiviranje ventila</t>
  </si>
  <si>
    <t>4.12.</t>
  </si>
  <si>
    <t>Uređaj za ručno aktiviranje ventila</t>
  </si>
  <si>
    <t>4.13.</t>
  </si>
  <si>
    <t>Visokotlačna gibljiva cijev DN4 x 1000 pilot cjevovoda</t>
  </si>
  <si>
    <t>4.14.</t>
  </si>
  <si>
    <t>Adapter M12x1 G 1/8"</t>
  </si>
  <si>
    <t>4.15.</t>
  </si>
  <si>
    <t>Mlaznica za FK-5-1-12 - tip 180°- DN25, mesing</t>
  </si>
  <si>
    <t>4.16.</t>
  </si>
  <si>
    <t>Krajnja sklopka, pneumatski aktivirana, za potvrdu aktiviranosti sustava sa ručnim resetom, u kompletu s priključnim adapterom</t>
  </si>
  <si>
    <t>4.17.</t>
  </si>
  <si>
    <t>Pocinčani šavni cjevovod EN 10255H ili jednakovrijedan u kompletu sa svim potrebnim pocinčanim navojnim fitinzima, koljenima, T komadima, redukcijama i spojnicama za radni tlak 60 bara i tlačnu probu 90 bara sa 3.1.B certifikatom i Uvjerenjem o ispravnosti i podobnosti za namijenjenu svrhu za cijev nazivnog otvora:
       NO32
NAPOMENA: fitinzi obavezno moraju imati certifikat i oznaku na samom fitingu (crvena točka)</t>
  </si>
  <si>
    <t>4.18.</t>
  </si>
  <si>
    <t>Pocinčani šavni cjevovod EN 10255H ili jednakovrijedan u kompletu sa svim potrebnim pocinčanim navojnim fitinzima, koljenima, T komadima, redukcijama i spojnicama za radni tlak 60 bara i tlačnu probu 90 bara sa 3.1.B certifikatom i Uvjerenjem o ispravnosti i podobnosti za namijenjenu svrhu za cijev nazivnog otvora:
       NO25
NAPOMENA: fitinzi obavezno moraju imati certifikat i oznaku na samom fitingu (crvena točka)</t>
  </si>
  <si>
    <t>4.19.</t>
  </si>
  <si>
    <t>Ovjesni i konzolni materijal (konzola, dvodjelna obujmica teški red, sidro vijci), pocinčani, za pričvršćenje cjevovoda, za cijevi slijedećeg promjera:
   NO32</t>
  </si>
  <si>
    <t>4.20.</t>
  </si>
  <si>
    <t>Ovjesni i konzolni materijal (konzola, dvodjelna obujmica teški red, sidro vijci), pocinčani, za pričvršćenje cjevovoda, za cijevi slijedećeg promjera:
   NO25</t>
  </si>
  <si>
    <t>4.21.</t>
  </si>
  <si>
    <t>Dvosmjerna zaklopka za rasterećenje pretlaka i podtlaka u štićenom prostoru, (vatrootpornost zaklopke 120 min.), slijedeće dimenzije: 
Okvir 640 mm x 252 mm (rupa za ugradnju 560 mm x 170 mm (W x H)</t>
  </si>
  <si>
    <t>4.22.</t>
  </si>
  <si>
    <t>Dvosmjerna zaklopka za rasterećenje pretlaka i podtlaka u štićenom prostoru, (vatrootpornost zaklopke 120 min.), slijedeće dimenzije: 
Okvir 440 mm x 452 mm (rupa za ugradnju 360 mm x 370 mm (W x H)</t>
  </si>
  <si>
    <t>4.23.</t>
  </si>
  <si>
    <t>Protupožarno brtvljenje prolaza protupožarnog cjevovoda kroz granice požarnih sektora.
Brtvljenje izvesti certificiranim u Republici Hrvatskoj  brtvilima i postupcima ili jednakovrijednim. (Protupožano se brtve prolasci cjevovoda kroz granice požarnog sektora.)</t>
  </si>
  <si>
    <t>4.24.</t>
  </si>
  <si>
    <t>Bušenje rupa za prolaz protupožarnog cjevovoda</t>
  </si>
  <si>
    <t>4.25.</t>
  </si>
  <si>
    <t>Zaštitna traka za zaštitu cijevi vođenih u zidu</t>
  </si>
  <si>
    <t>4.26.</t>
  </si>
  <si>
    <t>Naljepnica za prostor štićen plinom FK-5-1-12 sa obje strane vrata</t>
  </si>
  <si>
    <t>4.27.</t>
  </si>
  <si>
    <t>Knjiga uputa i održavanja</t>
  </si>
  <si>
    <t>4.28.</t>
  </si>
  <si>
    <t>Zidne upute za rukovanje FK-5-1-12 instalacijom - plastificirane</t>
  </si>
  <si>
    <t>4.29.</t>
  </si>
  <si>
    <t>Materijal za brtvljenje navojnih spojeva</t>
  </si>
  <si>
    <t>4.30.</t>
  </si>
  <si>
    <t>Transport navedene opreme iz EU (specijalni transport posuda pod tlakom) na mjesto ugradnje</t>
  </si>
  <si>
    <t>4.31.</t>
  </si>
  <si>
    <t>Tlačna proba-ispitivanje na nepropusnost cjevovoda na 3 bar u trajanju 10min</t>
  </si>
  <si>
    <t>4.32.</t>
  </si>
  <si>
    <t>Nostrifikacija spremnika (prijevod certifikata i ovjera)</t>
  </si>
  <si>
    <t>4.33.</t>
  </si>
  <si>
    <t>Ispitivanje zrakonepropusnosti štićenog prostora sukladno ISO 14520 ili jednakovrijednoj normi - Poglavlje E (Door fan test)</t>
  </si>
  <si>
    <t>4.34.</t>
  </si>
  <si>
    <t>Funkcionalno ispitivanje bez ispuštanje plina FK-5-1-12, atestiranje od ovlaštene tvrtke, puštanje u rad i primopredaja</t>
  </si>
  <si>
    <t>4.35.</t>
  </si>
  <si>
    <t>Obuka kadrova o rukovanju instalacijom</t>
  </si>
  <si>
    <t>4.36.</t>
  </si>
  <si>
    <t>Montaža opreme specificirane u poglavlju 4.</t>
  </si>
  <si>
    <t>4. FK 5-1-12 SUSTAV - STROJARSKI DIO - UKUPNO</t>
  </si>
  <si>
    <t>5. FK 5-1-12 SUSTAV - ELEKTRO DIO</t>
  </si>
  <si>
    <t xml:space="preserve">Vatrodojavna konvencionalna centrala za dojavu i gašenje požara - 1 zona, sa 1 modulom za prihvat klasičnih ručnih detektora, sa 1 modulom za upravljanje elektromagnetskim ventilima i sirenama s bljeskalicom, sa 1 relejnim modulom za prosljeđenje signalizacije
</t>
  </si>
  <si>
    <t>Akumulatorska baterija suha, 12V, 7Ah</t>
  </si>
  <si>
    <t>Klasični optički javljač požara sa podnožjem</t>
  </si>
  <si>
    <t>Klasični ručni javljač, sa zaštitnim poklopcem, za aktiviranje gašenja
Ugradnja u unutrašnje prostore</t>
  </si>
  <si>
    <t>Alarmna sirena s bljeskalicom
Unutarnja ugradnja</t>
  </si>
  <si>
    <t>Vatrodojavni kabel otporan na povišenu temperaturu 
JE-H(St)H-FE 180/E30 1x2x0.8</t>
  </si>
  <si>
    <t>Kabel NHXH E90 flex 3 x 1,5</t>
  </si>
  <si>
    <t>Kabelska polica KP 60/100 za nadžbuknu montažu kabela, sa pričvrsnim i montažnim priborom</t>
  </si>
  <si>
    <r>
      <t xml:space="preserve">PVC ravna cijev </t>
    </r>
    <r>
      <rPr>
        <sz val="9"/>
        <rFont val="Arial"/>
        <family val="2"/>
        <charset val="238"/>
      </rPr>
      <t>Ø13,5 za vođenje kabela</t>
    </r>
  </si>
  <si>
    <t>5.10.</t>
  </si>
  <si>
    <r>
      <t xml:space="preserve">PVC spiralna rebrasta gibljiva cijev </t>
    </r>
    <r>
      <rPr>
        <sz val="9"/>
        <rFont val="Arial"/>
        <family val="2"/>
        <charset val="238"/>
      </rPr>
      <t>Ø13,5 za vođenje kabela</t>
    </r>
  </si>
  <si>
    <t>5.11.</t>
  </si>
  <si>
    <t>Spajanje svih elemenata sustava, programiranje centrala, ispitivanje i puštanje u rad</t>
  </si>
  <si>
    <t>5.12.</t>
  </si>
  <si>
    <t>Upute za rukovanje centralom</t>
  </si>
  <si>
    <t>5.13.</t>
  </si>
  <si>
    <t>Montaža opreme specificirane u poglavlju 5.</t>
  </si>
  <si>
    <t>5. FK 5-1-12 SUSTAV - ELEKTRO DIO - UKUPNO</t>
  </si>
  <si>
    <t>PROTUPOŽARNI SUSTAVI:</t>
  </si>
  <si>
    <t>4. FK 5-1-12 SUSTAV - STROJARSKI DIO</t>
  </si>
  <si>
    <t>UKUPNO</t>
  </si>
  <si>
    <t>D</t>
  </si>
  <si>
    <t>TROŠKOVNIK SPRINKELRA</t>
  </si>
  <si>
    <t>RADOVI SPRINKLERA UKUPNO:</t>
  </si>
  <si>
    <t>SPRINKLER STANICA - STROJARSKI DIO</t>
  </si>
  <si>
    <t>SPRINKLER STANICA - ELEKTRO DIO</t>
  </si>
  <si>
    <t>SPRINKLER MREŽA</t>
  </si>
  <si>
    <t>FK 5-1-12 SUSTAV - STROJARSKI DIO</t>
  </si>
  <si>
    <t>FK 5-1-12 SUSTAV - ELEKTRO DIO</t>
  </si>
  <si>
    <t>TROŠKOVNIK SPRINKLERA UKUPNO</t>
  </si>
  <si>
    <t xml:space="preserve">POSEBNI TEHNIČKI UVJETI GRADNJE ZA RADOVE INSTALACIJA VODOVODA I ODVODNJE </t>
  </si>
  <si>
    <t xml:space="preserve">1. </t>
  </si>
  <si>
    <t>Prije davanja ponude Izvođač radova mora pregledati projektnu dokumentaciju, lokaciju izvedbe te zatražiti objašnjenja za nejasne stavke, prekontrolirati dokaznicu mjera, jer se naknadne primjedbe neće uzimati u obzir.</t>
  </si>
  <si>
    <t xml:space="preserve">Način obračuna može biti prema jediničnim cijenama i stvarnim količinama koje ovjerava nadzorni inženjer ili po sistemu "ključ u ruke". Odluku o načinu obračuna donijet će Investitor u postupku raspisa natječaja.    
</t>
  </si>
  <si>
    <t>Prije pristupa izvođenju radova Izvođač mora proučiti projektnu dokumentaciju i samu lokaciju građevine i izraditi plan i organizaciju rada.</t>
  </si>
  <si>
    <t>Planom organizacije gradilišta odrediti privremenu deponiju za otpadni materijal.</t>
  </si>
  <si>
    <t>Prethodno dogovoriti s Investitorom i lokalnom samoupravom mjesto odvoza otpadnog materijala sa privremene deponije kako ne bi dolazilo do zastoja radova po određenim fazama izgradnje.</t>
  </si>
  <si>
    <t>Prije početka gradnje Izvođač je dužan potvrditi sve podatke o položaju instalacija na građevini i u njenoj neposrednoj blizini.</t>
  </si>
  <si>
    <t>Izvoditi radove prema zahtjevima iz projekta i odobrenjima nadležnih institucija.</t>
  </si>
  <si>
    <t>Izvođač je dužan o svom trošku osigurati gradilište i građevinu od štetnog upliva vremenskih nepogoda i ti troškovi ulaze u jediničnu cijenu.</t>
  </si>
  <si>
    <t xml:space="preserve">Izvođač je dužan o svom trošku osigurati osiguranje gradilišta, te po okončanju radova dovođenje u prvobitno stanje. Stavka obuhvaća sve potrebne radove oko osiguranja gradilišta, kao i čišćenje trase cjevovoda na gradilištu, te uređenje radnog pojasa nakon zatrpavanja i nasipavanja rova, sa uklanjanjem svih ostataka građevinskog materijala. </t>
  </si>
  <si>
    <t xml:space="preserve">Izvođač je dužan osigurati osiguranje iskopa i okolnog terena i za vrijeme izvođenja radova. Stavka obuhvaća sve potrebne radove oko postavljanja privremenih znakova, ograda i svjetlosne signalizacije, kao i njihovo uklanjanje po završetku radova, uključivo izradu elaborata i ishođenje suglasnosti za regulaciju prometa. Stavka obuhvaća i postavljanje i organizaciju prikladnog prostora (privremenog skladišta) za skladištenje cijevi, alata i ostale sitne opreme potrebnih za izvođenje cjevovoda. </t>
  </si>
  <si>
    <t>Izvođač je dužan izvesti i pomoćne radnje i pribaviti pomoćna sredstva za rad ukoliko to traži kompletnost izvršenja posla bez obzira ako to posebno nije naglašeno u troškovniku. Smatra se da je sve obuhvaćeno jediničnom cijenom.</t>
  </si>
  <si>
    <t>Izvođač mora posjedovati isprave o sukladnosti o ispitivanju materijala i radova i u jediničnim cijenama uključeni su i troškovi ishođenja izjava o sukladnosti dokumentacije o kvaliteti ugrađenog materijala i izvedenih radova.</t>
  </si>
  <si>
    <t>Nadzor za čuvanje gradilišta, građevine, alata i materijala spada u dužnost i na teret Izvođača radova.</t>
  </si>
  <si>
    <t>14.</t>
  </si>
  <si>
    <t>Svaka šteta koja bi bila prouzročena prolazniku ili na susjednoj građevini, cesti uslijed kopanja, postavljanja skela, pada na teret Izvođača radova koji ju je dužan odstraniti i nadoknaditi.</t>
  </si>
  <si>
    <t>15.</t>
  </si>
  <si>
    <t>Izvođač radova odgovara za ispravnost izvršene isporuke i ugradnju.</t>
  </si>
  <si>
    <t>16.</t>
  </si>
  <si>
    <t xml:space="preserve">Ukoliko se tijekom građenja pojavi opravdana potreba za određenim odstupanjima ili manjim izmjenama projekta, Izvođač je dužan za to prethodno pribaviti isprave suglasnost Nadzornog inženjera. </t>
  </si>
  <si>
    <t>Ovaj će prema potrebi, upoznati Projektanta s predloženim izmjenama i tražiti njegovu suglasnost.</t>
  </si>
  <si>
    <t>17.</t>
  </si>
  <si>
    <t>Veće izmjene i odstupanja od projektiranog rješenja mogu se provesti samo uz odobrenje Projektanta i suglasnost Investitora, te pribavljanjem dopune građevne dozvole na nastalu promjenu ukoliko su odstupanja takve prirode.</t>
  </si>
  <si>
    <t>18.</t>
  </si>
  <si>
    <t>Tijekom izvođenja radova Izvođač je dužan sva nastala odstupanja od rješenja predviđenih projektom unijeti u projekt, a po završetku radova mora Investitoru predati projekt stvarno izvedenog stanja.</t>
  </si>
  <si>
    <t>19.</t>
  </si>
  <si>
    <t>U cijenu uključeno geodetsko iskolčenje trase vanjske i temeljne interne instalacije vodovoda i kanalizacije prema situaciji, neposredno prije početka radova, sa stacioniranjem svih važnijih točaka na terenu. Obračun se vrši po 1,0 mt stvarne duljine iskolčene i označene trase, uključujući sve potrebne radove vezane uz iskolčenje.</t>
  </si>
  <si>
    <t>20.</t>
  </si>
  <si>
    <t xml:space="preserve">Izvođač je dužan osigurati sprovođenje probe na protočnost i vodonepropusnost izvedene kanalizacione mreže prema važećim tehničkim propisima, a prije zatrpavanja zemljom s pribavljanjem atesta o izvršenom ispitivanju. </t>
  </si>
  <si>
    <t>21.</t>
  </si>
  <si>
    <t>U cijenu uključeno obavezno snimanje i izrada nacrta izvedenog stanja interne instalacije vodovoda i kanalizacije, te izrada kompletnog projekta izvedenog stanja uz isporuku u dva uvezana primjerka i četiri digitalizirana primjerka na optičkom mediju (CD). Radove izvodi za to ovlaštena organizacija, uključivo izrada elaborata.</t>
  </si>
  <si>
    <t>Snimanje cjevovoda se obavlja neposredno nakon završetka ispitivanja vodovoda i kanalizacije na vodonepropusnost i prije zatrpavanja. Napomena: prije izdavanja uporabne dozvole potrebno je dostaviti jedan primjerak elaborata izvedenog stanja predmetnog zahvata u prostoru na magnetnom mediju u „dwg“ ili „dxf“ formatu.</t>
  </si>
  <si>
    <t>22.</t>
  </si>
  <si>
    <t>Izvođač radova odgovoran je za nabavu, dopremu, izradu i montažu natpisnih pločica i samoljepivih naljepnice za oznake opreme i elemenata postrojenja za njihovo korištenje.</t>
  </si>
  <si>
    <t>23.</t>
  </si>
  <si>
    <t>Izvođač radova odgovoran je za izradu pisanih uputa za održavanje i rukovanje postrojenjima uz isporuku dva uvezana kompleta, te pripadajuće funkcijske sheme za postavljanje na zid.</t>
  </si>
  <si>
    <t>24.</t>
  </si>
  <si>
    <t>Osoblje izvođača dužno je sudjelovati u smislu organizacije, te vođenja postupka primopredaje instalacija, a što mora završiti zapisnikom o primopredaji istih, uključivo izrada i isporuka sve potrebne atestne dokumentacije o funkcijskom ispitivanju i postignutoj kvaliteti i sva mjerenja od strane ovlaštenih institucija potrebna za ishođenje uporabne dozvole, odnosno primopredaju izvedenih instalacija.</t>
  </si>
  <si>
    <t>25.</t>
  </si>
  <si>
    <t>Izvođač u ponudbenoj dokumentaciji mora pribaviti sve prospekte materijala koje će ugraditi ili dati precizne podatke o istim, kako bi se u toku izvedbe mogla pratiti kontrola ugrađenih materijala i ostale opreme.</t>
  </si>
  <si>
    <t>26.</t>
  </si>
  <si>
    <t>Instalacije smije izvoditi samo ovlašteni izvoditelj. U protivnom svu eventualno nastalu štetu snosi onaj tko je angažirao nestručnog izvođača.</t>
  </si>
  <si>
    <t>27.</t>
  </si>
  <si>
    <t>Izvođač je dužan voditi montažni dnevnik, kojega ovjerava nadzorni inženjer.</t>
  </si>
  <si>
    <t>Jedinične cijene pojedinih stavaka troškovnika moraju sadržavati svu odštetu i pripomoć za obavljeni rad, osnovni i pomoćni materijal  tj. dobavu i ugradnju, horizontalni i vertikalni prijenos u građevini, te pomoćne skele i zaštitu, tako da se na pogođenu stavku troškovnika ne može tražiti nikakva daljnja odšteta osim pogođene cijene.
U jediničnim cijenama moraju biti sadržani i svi sporedni radovi i sitni materijal koji se posebno ne zaračunavaju:</t>
  </si>
  <si>
    <t xml:space="preserve"> a) izmjere ugrađenog materijala potrebno za konačni obračun.
 b) sav sitni brtveći, pričvrsni, izolacijski, ugradbeni i drugi sitni materijal kao što su: gumice, kudjelja, brtve, držači, konzole, obujmice, rozete, proturne cijevi, opšavi, tiple, vijci, matice, podložne pločice, rezne ploče itd.
 c) sav potreban alat kao i zaštitne naprave kao, skele, ograde i slično.
 d) troškovi ispitivanja materijala.
 e) ispitivanje vodovodne instalacije na protočnost i nepropusnost; dezinfekcija kompletne vodovodne mreže od strane ovlaštene tvrtke; bakteriološka analizu uzoraka vode iz cjevovoda nakon dezinfekcije; funkcionalno ispitivanje vanjske i unutarnje hidrantske mreže te pribavljanje atesta o zadovoljavanju protupožarnih propisa; ispitivanje instalacije vanjske kanalizacije kao ispitivanje kanalizacijskih okana na nepropusnost, protočnost spojeva i uređaja i funkcionalnost uz dobivene ateste od strane ovlaštene tvrtke. O obavljenom ispitivanju izvoditelj je dužan posjedovati ateste odnosno potvrde o sukladnosti, dokaze o uporabljivosti ugrađenih građevnih proizvoda, certifikat sukladnosti ugrađenih građevnih proizvoda i isprave i na traženje investitora ih predočiti, a sve sukladno važećim hrvatskim i europskim normama.
 f) izrada prodora u zidovima i podovima za izvedbu spojeva kanalizacijskih i vodovodnih cijevi do pojedinih vertikala i sanitarnih uređaja, izradu horizontalnih i vertikalnih usjeka (šliceva) u zidovima od opeke i armiranog betona, te dodatnih proširenja na mjestu ugradnje opreme (ventili, ugradbeni sifoni, itd.), odvoz razbijenog materijala na deponiju sa grubim planiranjem, te zatvaranje usjeka žbukanjem nakon polaganja instalacije. 
 g) regulacija procjednih i podzemne vode za vrijeme trajanja zemljanih radova sustavom dreniranja i prepumpavanja.
 h) vodootporno brtvljenje prodora vodovodnih i kanalizacijskih cijevi na mjestima prolaska cijevnog razvoda kroz temelje ili podrumske zidove.
 i) protupožarno brtvljenje prodora vodovodnih i kanalizacijskih cijevi na mjestima prolaska cijevnog razvoda kroz požarne sektore.
 j) čišćenje gradilišta od otpadaka i smeća nastalog radovima na instalacijama vode i kanalizacije.
k) predočenje uzoraka sanitarnih uređaja i pribora te ostale opreme, a na zahtjev nadzornog inženjera.
 l) popravak šteta počinjenih nepažnjom na tuđim ili vlastitim radovima.</t>
  </si>
  <si>
    <t>POPIS PRIMJENJENIH PROPISA</t>
  </si>
  <si>
    <t>­</t>
  </si>
  <si>
    <t>Zakon o gradnji  (NN. br. 153/13, 20/17, 39/19, 125/19);</t>
  </si>
  <si>
    <t>Zakon o vlasništvu i drugim stvarnim pravima (NN 91/96, 68/98, 137/99, 22/00, 73/00, 114/01, 79/06, 141/06, 146/08, 38/09 i 153/09);</t>
  </si>
  <si>
    <t>Zakon o zaštiti na radu (NN 59/96, 94/96, 114/03, 100/04, 86/08, 116/08 i 75/09);</t>
  </si>
  <si>
    <t>Zakon o zaštiti od požara (NN 92/10);</t>
  </si>
  <si>
    <t>Pravilnik o hidrantskoj mreži za gašenje požara (NN 8/06);</t>
  </si>
  <si>
    <t>Pravilnik o vatrogasnim aparatima (NN 101/11);</t>
  </si>
  <si>
    <t>Pravilnik o provjeri ispravnosti stabilnih sustava zaštite od požara (NN 44/12)</t>
  </si>
  <si>
    <t>Zakon o vodama (NN 66/2019);</t>
  </si>
  <si>
    <t>Pravilnik o izdavanju vodopravnih akata (NN 78/10);</t>
  </si>
  <si>
    <t>Zakon o komunalnom gospodarstvu (NN 36/95, 70/97, 128/99, 57/00, 129/00, 59/01, 26/03, 82/04, 110/04, 178/04, 38/09, 79/09, 153/09 i 49/11);</t>
  </si>
  <si>
    <t>Zakon o zaštiti okoliša (NN 80/2013);</t>
  </si>
  <si>
    <t>Zakon o građevnim proizvodima (NN 76/2013);</t>
  </si>
  <si>
    <t>Zakon o sanitarnoj inspekciji (NN 113/08 i 88/10);</t>
  </si>
  <si>
    <t>Pravilnik o građevinama koje podliježu sanitarnom nadzoru (NN 48/00 i 42/08);</t>
  </si>
  <si>
    <t>Pravilnik o sadržaju i načinu davanja potvrde o usklađenosti projekta sa sanitarno-tehničkim uvjetima gradnje (NN 93/99);</t>
  </si>
  <si>
    <t>Pravilnik o zaštiti na radu za radne i pomoćne prostorije i prostore (NN 6/84, 42/05, 113/06)</t>
  </si>
  <si>
    <t>NAPOMENA:</t>
  </si>
  <si>
    <t>Uz svaku stavku predvidjeti i sve radove navedene u tehničkim uvjetima gradnje;</t>
  </si>
  <si>
    <t>Kote poklopaca revizijskih okana, prepumpnog okna te separatora treba uskladiti sa konačnim kotama uređenog terena;</t>
  </si>
  <si>
    <t>Dimenzioniranje cijevi izvedeno je prema unutrašnjem profilu cijevi. Kaltoške oznake cijevi su prema vanjskoj debljini stjenke. Prema tome kod narudžbe treba uzimati veći profil (npr. profil  Ø15mm iz projekta odgovara kataloškom projektu profila 20mm);</t>
  </si>
  <si>
    <t>Sanitarni predmeti dati su informativno, veličinu, boju i vrstu pojedinog sanitarnog predmeta, armatura i galanterije odabire  investitor ili prema projektantu interijera;</t>
  </si>
  <si>
    <t xml:space="preserve">Tehnološka oprema kao i prateća oprema nisu dio ovog projekta. 
Npr. za kuhinjsku odpremu predviđeni su kutni ventili za dovod vode i odvodne cijevi. </t>
  </si>
  <si>
    <t>REKAPITULACIJA VODOVODA I ODVODNJE</t>
  </si>
  <si>
    <t>GRUPE RADOVA</t>
  </si>
  <si>
    <t>TROŠAK
[EUR]</t>
  </si>
  <si>
    <t>ZEMLJANI I ARMIRANOBETONSKI RADOVI</t>
  </si>
  <si>
    <t>VODOVOD I ODVODNJA UKUPNO:</t>
  </si>
  <si>
    <t>PDV :</t>
  </si>
  <si>
    <t>VODOVOD I ODVODNJA  SVEUKUPNO:</t>
  </si>
  <si>
    <t>1. ZEMLJANI I ARMIRANOBETONSKI RADOVI</t>
  </si>
  <si>
    <t>Stavka</t>
  </si>
  <si>
    <t>Jed. mjere</t>
  </si>
  <si>
    <t>Jedinična cijena [EUR]</t>
  </si>
  <si>
    <t>Ukupno
[EUR]</t>
  </si>
  <si>
    <t>1</t>
  </si>
  <si>
    <t>Iskop zemlje</t>
  </si>
  <si>
    <t xml:space="preserve">Iskop zemlje C kategorije za polaganje vodovodnih i odvodnih cijevi van i unutar objekta. Širina rova je  od 0.8 -1.00 m, a dubina od 1.00 do 1,40 m (uzima se prosječna dubina). Iskop  vršiti  na dubini nivelete uvećanoj za 10 cm radi izvedbe  ležaja cijevi s pravilnim odsijecanjem  bočnih strana i dna te odbacivanjem iskopanog materijala  na udaljenost 2,0 m od ruba rova. Između rova i odbačenog materijala potrebno je osigurati bankinu širine 80 cm radi komunikacije. U cijenu uzeti i eventualno crpljenje vode. Radovi moraju teći u potpunoj koordinaciji sa montažom cijevi. </t>
  </si>
  <si>
    <t>Obračun se vrši po 1,0 m3 iskopanog materijala.</t>
  </si>
  <si>
    <t>m³</t>
  </si>
  <si>
    <t>2</t>
  </si>
  <si>
    <t>Iskop građevinkse jame za podzemne građevine</t>
  </si>
  <si>
    <t>Iskop zemlje C kategorije za proširenje rova za vodomjerno okno,  reviziona okna, separatore, zasunska okna, spremnik kišnice.</t>
  </si>
  <si>
    <t>3</t>
  </si>
  <si>
    <t>Čisti suhi pijesak</t>
  </si>
  <si>
    <t>Nabava, doprema i razastiranje čistog suhog pijeska za polaganje vodovodnih i odvodnih cijevi. Šljunčana posteljica za ležaj PVC cijevi, od oblih zrna veličine 8-16 mm, bez organskih primjesa, s dimenzijama danim u nacrtu kanalskog rova i produbljenima na mjestu spojeva cijevi. Uključivo nabava, doprema i ugradnja šljunka, uz strojno nabijanje do min. 90 % prirodne zbijenosti. Posteljica od pijeska debljine 10 cm, a natkrivanje cijevi cca 30 cm od tjemena cijevi.</t>
  </si>
  <si>
    <t>Obračun se vrši po 1,0 m3 ugrađenog pijeska.</t>
  </si>
  <si>
    <t>4</t>
  </si>
  <si>
    <t>Zatrpavanje rova</t>
  </si>
  <si>
    <t>Zatrpavanje rova nakon montaže i ispitivanje temeljnih cijevi, sa materijalom iz iskopa. Prvi sloj iznad cijevi treba biti od sitnog materijala da ne bi došlo do oštećenja cijevi.  Nasipavanje vršiti u slojevima od 20 cm uz pažljivo nabijanje. Zatrpavanje izvoditi nakon izvedbe obloge cijevi pijeskom.</t>
  </si>
  <si>
    <t>Obračun se vrši po 1,0 m3 stvarno ugrađenog materijala.</t>
  </si>
  <si>
    <t>5</t>
  </si>
  <si>
    <t>Zatrpavanje građevinske jame</t>
  </si>
  <si>
    <t>Zatrpavanje građevinske jame materijalom iz iskopa nakon izvedbe podzemnih građevina. 
Zatrpavanje materijalom iz iskopa, sa nabijanjem nabijačem. Zasipavati materijalom sa promjerom zrna ne većim od 32 mm. Posebnu pozornost potrebno je obratiti kod spojeva cijevi.  U stavku je uključen potreban rad i materijal.</t>
  </si>
  <si>
    <t>6</t>
  </si>
  <si>
    <t>Odvoz zemlje</t>
  </si>
  <si>
    <t>Odvoz preostale zemlje nakon dovršenog zatrpavanja rova, kamionima na gradsku deponiju na udaljenost od 5 km ili veću, u dogovoru s investitorom. U cijenu je uračunat utovar u transportno sredstvo, transport, te istovar i grubo planiranje na mjestu istovara.</t>
  </si>
  <si>
    <t xml:space="preserve">Obračun po m3 stvarno izvršenih radova. </t>
  </si>
  <si>
    <t>7</t>
  </si>
  <si>
    <t>Postavljanje prijelaza, osiguranje i označavanje rova</t>
  </si>
  <si>
    <r>
      <t xml:space="preserve">Izrada, postavljanje i skidanje </t>
    </r>
    <r>
      <rPr>
        <sz val="8.6"/>
        <rFont val="Arial"/>
        <family val="2"/>
        <charset val="238"/>
      </rPr>
      <t>prijelaza preko iskopanog rova. Stavkom je obuhvaćena izrada prelaza preko rova i zaštitna ograda odnosno obilježavanje ruba rova špagom i zastavicama na prometnim mjestima.</t>
    </r>
  </si>
  <si>
    <t>Obračun se vrši po kompletu postavljenih prijelaza.</t>
  </si>
  <si>
    <t>kompl.</t>
  </si>
  <si>
    <t>8</t>
  </si>
  <si>
    <t>Vodomjerno okno</t>
  </si>
  <si>
    <t>Izrada vodomjernog okna svijetlih dimenzija 430x150x180cm. 
Vodomjerno okno mora biti vodonepropusno. Ulazni otvor sa unutrašnje strane zaribati cementnim mortom. Na prolazu kroz zidove okna, ugraditi zaštitne komade za prolaz cijevi. Izrada izolacije ploče sa dva sloja ljepenke i tri vruča premaza bitumenom. Dobava i montaža lijevano-željeznog poklopca 60x60 cm s natpisom "Vodovod" (A15kN), Izrada, montaža i demontaža oplate, zidova i ploče sa podupiranjem. Uključivo svi prenosi materijala.
Obračun po kompletu.</t>
  </si>
  <si>
    <t>NAPOMENA: Prije izvedbe kontaktirati distributera vode, koje će definirati točne dimenzije vodomjernog okna.</t>
  </si>
  <si>
    <t>9</t>
  </si>
  <si>
    <t>Zasunsko okno za navodnjavanje</t>
  </si>
  <si>
    <t>Izrada zasunskog okna, svjetlih tlocrtnih dimenzija 60x60 cm i svjetle visine 100 cm. 
Betoniranje AB zidova i podne ploče debljine 20 cm (okna se armiraju sa cca. 90kg armature po m3 betona) u dvostrukoj oplati betonom C25/30. Zasunsko okno mora biti vodonepropusno. Ulazni otvor sa unutrašnje strane zaribati cementnim mortom. Na prolazu kroz zidove okna, ugraditi zaštitne komade za prolaz cijevi. Dobava i montaža vodo-plinotjesnih poklopaca u obradi poda 60x60 cm A15, izrada, montaža i demontaža oplate, zidova sa podupiranjem. Uključivo svi prenosi materijala.
Obračun po kompletu.</t>
  </si>
  <si>
    <t>10</t>
  </si>
  <si>
    <t>Precrpna stanica</t>
  </si>
  <si>
    <t>Betoniranje precrpne stanice svijetlih dimenzija 120x120cm, visine 150cm.  Stijenke su debljine 20 cm, u odgovarajućoj oplati.</t>
  </si>
  <si>
    <t>Betoniranje izvesti C 25/30 s dodatkom sredstva za vodonepropusnost 4,2 betacementola u dvostranoj glatkoj oplati dubine prema potrebnoj koti dna okna. Dno i stijenke okna su debljine 20 cm, konstruktivno armirati stijenke. U stijenkama ostaviti otvore za prolaz cijevi. 'Prodor cijevi kroz zidove izvesti vodonepropusno ugradnjom umetaka s gumenom brtvom za spoj plastične cijevi i betona.</t>
  </si>
  <si>
    <t xml:space="preserve">Unutarnje stijenke i dno ožbukati cementnim mortom 1:2 do crnog sjaja. Prije betoniranja, a osobito za ljetnih vrućih dana, treba drvenu oplatu i tlo obilno politi vodom da ne upijaju vodu iz betona. Dobava i montaža lijevano-željeznog poklopca. 2 vodo-plinotijesna poklopca veličine 60/60 cm nosivosti  A15. U oknu ugraditi  lijevano željezne stupaljke na razmacima 30cm. </t>
  </si>
  <si>
    <t>Obračun se vrši po komadu kompletno izvedenog precrpnog okna, uključivo i oplatu zidova i ploča, sa podupiranjem, te sve prenose. Posebno su unutar stavke navedeni neki dijelovi radi lakše procjene vrijednosti radova. Iskop, zatrpavanje i unutarnja "armatura" obrađeni su u posebnim stavkama troškovnika.</t>
  </si>
  <si>
    <t>U stavku uključiti i nabavu, dopremu i ugradnju umetaka s gumenom brtvom za spoj plastične kanalizacione cijevi na betonsko okno kvalitete kao tip RDS ili KGF. Ugradnja uključuje precizno postavljanje prema niveleti kanala i visinskim kotama, privremeno pričvršćenje, te konačno zatrpavanje i učvršćenje VDP cementnom žbukom 1:2, sa zaglađivanjem u razini stijenke okna.</t>
  </si>
  <si>
    <t>Obračun po komadu kompletno izvedenog okna:</t>
  </si>
  <si>
    <t>precrpna stanica sa 2 poklopca</t>
  </si>
  <si>
    <t>Napomena: točne debljine stijenki, te gornje i donje ploče i vrstu armature definirat će statičar izvedbenim projektom.</t>
  </si>
  <si>
    <t xml:space="preserve"> </t>
  </si>
  <si>
    <t>11</t>
  </si>
  <si>
    <t>Šlicevi u postojećim temeljima / međukatnoj konstrukciji</t>
  </si>
  <si>
    <t>Izvedba šliceva i rova u temeljima podruma i prizemlja, za polaganje instalacija kanalizacije. U stavku ulazi: rezanje ploče u širini 0,6m, iskop materijala ispod ploče dubine cca. 0,6-1,0 m, izrada prodora u trakastim temeljima radi prolaska cijevi, planiranje dna rova u padu prema nacrtu, izrada pješčane posteljice i nadsloja cijevi, zatrpavanje iskopanog rova materijalom iz iskopa, saniranje oštećene hidroizolacije i naknadno betoniranje ploče betonom C30/37 sa dodatkom za vodonepropusnost i ugradnjom waterstop RX 101 trake koja ekspandira u dodiru s vodom, sve do prvobitnog stanja, uključujući sav potreban materijal i rad. Obračun po m'.</t>
  </si>
  <si>
    <t>UKUPNO:</t>
  </si>
  <si>
    <t>2. VODOVODNI SUSTAVI</t>
  </si>
  <si>
    <t>Ugradbena armatura vodomjernog okna</t>
  </si>
  <si>
    <r>
      <t xml:space="preserve">Nabava, doprema i montaža fazonskih komada i armatura, </t>
    </r>
    <r>
      <rPr>
        <b/>
        <sz val="8.5"/>
        <rFont val="Arial "/>
        <charset val="238"/>
      </rPr>
      <t>u vodomjernom oknu - iza vodomjera</t>
    </r>
    <r>
      <rPr>
        <sz val="8.5"/>
        <rFont val="Arial "/>
        <charset val="238"/>
      </rPr>
      <t>, za radni pritisak od 16 bara. Montaža fazonskih komada prirubnicom brtvenim gumenim prstenom ili klingeritom, uključiv sav brtveni materijal s vijcima te izolacija spojeva hladnim bitumenskim premazom. Montažu izvršiti prema priloženoj monterskoj shemi. Obračun po kompletu.</t>
    </r>
  </si>
  <si>
    <t>NAPOMENA: Točan tip armatura odreditI će nadležno komunalno poduzeće.</t>
  </si>
  <si>
    <t>PEHD cijevi</t>
  </si>
  <si>
    <t>Nabava, doprema i montaža PE-HD tlačnih cijevi od tvrdog polietilena visoke gustoće PN16 za vanjski i temeljni razvod vode, uključivo i spajanje cijevi, a sve prema važećim propisma i uputama proizvođača. U cijenu uključiti raznašanje cijevi i fazonskih komada duž rova, spuštanje u rov i poravnavanje, međusobno spajanje PE-HD cijevi elektrootpornim zavarivanjem sa elektrospojnicama, polaganje na sloj pijeska 10 cm, te fazonske komade, uključivo svi prenosi. Na mjestima gdje je nadsloj cijevi manji od 1,0 m potrebno ju je izolirati radi sprečavanja smrzavanja. 
Na trasi cjevododa postaviti signalnu traku na visini 30cm od tjemena cijevi.</t>
  </si>
  <si>
    <t>Obračun po mt kompletno montirane i ispitane cijevi, uključivo fazonski komadi sa svim potrebnim priborom za spajanje i prijenosima.</t>
  </si>
  <si>
    <t>PE-HD DN50mm</t>
  </si>
  <si>
    <t>PE-HD NO63mm</t>
  </si>
  <si>
    <t>PE-HD DN90mm</t>
  </si>
  <si>
    <t>Zaštita vodovodnih cijevi u vanjskom rovu</t>
  </si>
  <si>
    <t>Dobava i montaža PVC-SN4 kanalizacijskih cijevi za zaštitu vodovodnih cijevi. Vodovodne cijevi položiti u PVC-SN4 cijevi kod križanja sa ostalim instalacijama u vanjskom rovu. Obračun po kompletu.</t>
  </si>
  <si>
    <t>Ø 110 mm, L=2,0m</t>
  </si>
  <si>
    <t>Ø 160 mm, L=2,0m</t>
  </si>
  <si>
    <t>Traka upozorenja  “POZOR–VODOVOD”</t>
  </si>
  <si>
    <t xml:space="preserve">Dobava, donos i postavljanje plave trake “POZOR–VODOVOD” duž cijele trase vodovoda. Traka se postavlja 30 cm od tjemena cijevi i to tako da natpis bude okrenut prema gore. </t>
  </si>
  <si>
    <t>Obračun se vrši po m'.</t>
  </si>
  <si>
    <t>Čelične pocinčane cijevi</t>
  </si>
  <si>
    <t>Nabava, doprema i montaža čeličnih pocinčanih cijevi za instalacije unutarnje hidrantske mreže. Cijevi se polažu u temelj uz zid, te u zidnim usjecima. Stavka obuhvaća sve potrebne spojnice, redukcije, fitinge, prijelazne komade na druge cijevi i potrebni ovjesni materijal. Cijevi se za zidove učvršćuju limenim obujmicama ili konzolama a za stropove limenim obujmicama. Stavka obuhvaća i označavanje trase instalacije tlocrtno i visinski. Cijevi se izoliraju ovisno o mjestu ugradnje sa Dekorodal trakom u podu ili filcom pod stropom u zidu i zidnom usjeku. U temelju se cijevi premazuju sa antikorozivnim premazom.</t>
  </si>
  <si>
    <t>Obračun se vrši po 1,0 m kompletno montirane i izolirane cijevi prema mjestu ugradbe.</t>
  </si>
  <si>
    <t>P.C.  NO50 mm</t>
  </si>
  <si>
    <t>P.C.  NO65 mm</t>
  </si>
  <si>
    <t>P.C.  NO80 mm</t>
  </si>
  <si>
    <t>Vodovodne cijevi za pitku vodu</t>
  </si>
  <si>
    <t>Dobava i montaža troslojnih aluminijsko-plastičnih (PE-Xb/Al/PE-HD) cijevi sa spajanjem ˝press˝ spojnicama,  za razvod sanitarne hladne i tople vode. Stavka obuhvaća sve potrebne spojnice, redukcije, T-komade i potrebni pričvrsni i ovjesni materijal. Cijevi se isporučuju u palicama bez izolacije. Izolacija cijevi ovisno o mjestu ugradnje prema preporuci proizvođača cijevi.</t>
  </si>
  <si>
    <t xml:space="preserve">Cijevna toplinska izolacija iz paronepropusnog pjenastog materijala koji ima zatvorene čelije, s=9 mm, komplet sa samoljepljivom trakom, ljepilom i originalnim cijevnim nosačima, za vodoopskrbni sustav, u oblozi. Materijal je klase B1, teško zapaljiv, samogasiv, nekapajući i ne prenosi vatru. </t>
  </si>
  <si>
    <t xml:space="preserve">Na ravnim potezima dužim od 15,0m ugraditi kompenzacijski komad. </t>
  </si>
  <si>
    <t>U cijenu uključiti metalne obujmice sa gumom na razmaku 0,5x2,5 m, te šlicanje zida i zatvaranje istog mortom 1:3.</t>
  </si>
  <si>
    <t>NO 15mm</t>
  </si>
  <si>
    <t>NO 20mm</t>
  </si>
  <si>
    <t>NO 25mm</t>
  </si>
  <si>
    <t>NO 32mm</t>
  </si>
  <si>
    <t>NO 40mm</t>
  </si>
  <si>
    <t>NO 50mm - instalacija navodnjavanja koja prolazi kroz podrum</t>
  </si>
  <si>
    <t>Kuglasti ventil</t>
  </si>
  <si>
    <t>Nabava, doprema i montaža kuglastog ventila</t>
  </si>
  <si>
    <t>Obračun se vrši po komadu kompletno montiranog  kuglastog ventila.</t>
  </si>
  <si>
    <t>NO 15mm s ispustom</t>
  </si>
  <si>
    <t>NO 50mm - vodomjerno okno</t>
  </si>
  <si>
    <t>NO 50mm - sprinkler  stanica</t>
  </si>
  <si>
    <t>Kutni ventil</t>
  </si>
  <si>
    <t>Nabava, doprema i montaža kutnog ventila</t>
  </si>
  <si>
    <t>Obračun se vrši po komadu kompletno montiranog  ventila.</t>
  </si>
  <si>
    <t>Zaštitnik od kamenca</t>
  </si>
  <si>
    <t>Dobava donos i ugradnja zaštitnika od kamenca. Zaštitnik montirati u prostoru vodomjernog okna na liniji sanitarne vode. 
U stavku ulazi dobava, donos i ugradnja zaštitnika od kamenca, sav potrebni materijal i rad. Obračun po komadu.</t>
  </si>
  <si>
    <t>zaštitnik od kamenca Ø50 mm</t>
  </si>
  <si>
    <t>Ugradbena armatura zasunskog okna za navodnjavanje</t>
  </si>
  <si>
    <t>Dobava, donos i ugradnja ugradbene armature za ugradnju u zasunsko okno i prostor sprinkler stanice. U stavku ulazi dobava, donos i ugradnja sve ugradbene armature, sav potreban rad i materijal sa dopremom na gradilište. 
Obračun po komadu.</t>
  </si>
  <si>
    <t>navrtni ventil Ø 50 mm</t>
  </si>
  <si>
    <t xml:space="preserve">nepovratni ventil Ø 50 mm </t>
  </si>
  <si>
    <t>navrtni ventil Ø 25 mm - priključak fontane u sprinkler stanici</t>
  </si>
  <si>
    <t>nepovratni ventil Ø 25 mm - priključak fontane u sprinkler stanici</t>
  </si>
  <si>
    <t>Revizijska vratašca</t>
  </si>
  <si>
    <t>Dobava i ugradnja tipskih revizijskih vratašca. Vratašca služe za pristup ventilima na sustavu vodovoda. Tip i položaj vratašca obavezno uskladiti s projektom interijera. Obračun po komadu.</t>
  </si>
  <si>
    <t>revizijska vratašca - spušteni strop</t>
  </si>
  <si>
    <t>12</t>
  </si>
  <si>
    <t>Električni tlačni bojler</t>
  </si>
  <si>
    <t>Dobava, donos i ugradnja električnih tlačnih bojlera. U stavku ulazi dobava, donos i ugradnja električnih bojlera sa svim potrebanim materijalom i radom. Prilikom ugradnje pridržavati se uputa proizvođača. Obračun po komadu.</t>
  </si>
  <si>
    <t>bojleri V=15 lit</t>
  </si>
  <si>
    <t xml:space="preserve">bojleri V=80 lit </t>
  </si>
  <si>
    <t>13</t>
  </si>
  <si>
    <t>Električni protočni bojler</t>
  </si>
  <si>
    <t>Dobava, donos i ugradnja električnih protočnih bojlera. 
U stavku ulazi dobava, donos i ugradnja električnih protočnih bojlera sa svim potrebnim materijalom i radom. Prilikom ugradnje pridržavati se uputa proizvođača. Obračun po komadu.</t>
  </si>
  <si>
    <t>protočni bojler (3.5 kW)</t>
  </si>
  <si>
    <t>14</t>
  </si>
  <si>
    <t>Zidni  hidrantski ormarići - klasični sa 15,0 mt trevira crijeva</t>
  </si>
  <si>
    <r>
      <t xml:space="preserve">Nabava, doprema i montaža limenih </t>
    </r>
    <r>
      <rPr>
        <b/>
        <sz val="8.5"/>
        <rFont val="Arial"/>
        <family val="2"/>
      </rPr>
      <t>hidrantskih ormarića</t>
    </r>
    <r>
      <rPr>
        <sz val="8.5"/>
        <rFont val="Arial"/>
        <family val="2"/>
      </rPr>
      <t xml:space="preserve"> nadgradni i ugradbeni na zid. Ormarići su vel. 550x550x160 mm. U ormariću ima </t>
    </r>
    <r>
      <rPr>
        <b/>
        <sz val="8.5"/>
        <rFont val="Arial"/>
        <family val="2"/>
        <charset val="238"/>
      </rPr>
      <t>15,0 mt trevira crijeva</t>
    </r>
    <r>
      <rPr>
        <sz val="8.5"/>
        <rFont val="Arial"/>
        <family val="2"/>
      </rPr>
      <t xml:space="preserve"> sa univerzalnom mlaznicom s ručkom i  priključkom na hidrantski nastavak, te ventil. Hidrant mora biti pravilno označen sa naljepnicom.</t>
    </r>
  </si>
  <si>
    <t>U cijenu uključiti masku vrata unutarnjeg hidranta: hpl ploča debljine 13mm, 60x60 cm, montaža na vrata ormarića unutarnjeg hidranta, završna obrada po izboru projektanta po obaveznoj dostavi uzoraka. Ugraditi ormarić na način da je ploha maske u ravnini sa završnom oblogom/žbukom postojećeg zida.</t>
  </si>
  <si>
    <t>Obračun se vrši po komadu kompletno montiranog ormarića, do pune funkcije.</t>
  </si>
  <si>
    <t>15</t>
  </si>
  <si>
    <t>Zidni  hidrantski ormarići - klasični sa 20,0 mt trevira crijeva</t>
  </si>
  <si>
    <r>
      <t xml:space="preserve">Nabava, doprema i montaža limenih </t>
    </r>
    <r>
      <rPr>
        <b/>
        <sz val="8.5"/>
        <rFont val="Arial"/>
        <family val="2"/>
      </rPr>
      <t>hidrantskih ormarića</t>
    </r>
    <r>
      <rPr>
        <sz val="8.5"/>
        <rFont val="Arial"/>
        <family val="2"/>
      </rPr>
      <t xml:space="preserve"> nadgradni i ugradbeni na zid. Ormarići su vel. 550x550x160 mm. U ormariću ima </t>
    </r>
    <r>
      <rPr>
        <b/>
        <sz val="8.5"/>
        <rFont val="Arial"/>
        <family val="2"/>
        <charset val="238"/>
      </rPr>
      <t>20,0 mt trevira crijeva</t>
    </r>
    <r>
      <rPr>
        <sz val="8.5"/>
        <rFont val="Arial"/>
        <family val="2"/>
      </rPr>
      <t xml:space="preserve"> sa univerzalnom mlaznicom s ručkom i  priključkom na hidrantski nastavak, te ventil. Hidrant mora biti pravilno označen sa naljepnicom.</t>
    </r>
  </si>
  <si>
    <t>16</t>
  </si>
  <si>
    <t>Hidrostanica za hidrantsku mrežu</t>
  </si>
  <si>
    <t>Dobava donos i ugradnja hidrostanice za podizanje pritiska u hidrantskoj mreži.</t>
  </si>
  <si>
    <t>Hidrostanica se sastoji od: 
- dvije vertikalne višestupanjske e-SV™ inox crpke s ugrađenim PLM motorima, klase IE3 
- dva naponsko-frekventna pretvarača Hydrovar®, ugrađenih na poklopac motora svake crpke, s ugrađenim PLC modulom s LCD zaslonom za prikaz funkcija zaštite, monitoringa i samoprovjere 
- usisnih i tlačnih ventila 
- nepovratnih ventila 
- ulazne/izlazne grane R2 1/2"”, inox AISI 304 
- transmitera tlaka 
- manometra 
- upravljačkog ormarića sa zaštitom od rada na suho 
- s opcijom modulske veze na ModBus sustave za daljinski nadzor i upravljanje, konektor RS 485 Sve ožičeno i kompletirano na postolju.</t>
  </si>
  <si>
    <t>U stavku ulazi: dobava, donos i montaža uređaja, sav materijal i rad, te puštanje u pogon u funkcionalnom stanju i dobava protupožarnog atesta za hidrostanicu.
Obračun po kompletu.</t>
  </si>
  <si>
    <t xml:space="preserve">hidrostanica za podizanje pritiska u hidrantskoj mreži, 400 V, 50 Hz, 2×2,2kW, 2905 min-1, IP55 </t>
  </si>
  <si>
    <t>Tlačna sklopka za zaštitu od rada na suho</t>
  </si>
  <si>
    <t>Mehanički plovak s 20 m kabela i utegom</t>
  </si>
  <si>
    <t>Membranski spremnik 24l/10bar</t>
  </si>
  <si>
    <t>Ugradnja, parametriranje i puštanje u rad gore navedenog uređaja za podizanje pritiska u hidrantskoj mreži.
Ugradnja uključuje: istovar, transport po gradilištu, ugradnju uređaja, izrada priključka na dovodnu i odvodnu cijev te puštanje u pogon.</t>
  </si>
  <si>
    <t>Pribavljanje protupožarnog atesta za hidrostanicu</t>
  </si>
  <si>
    <t>17</t>
  </si>
  <si>
    <t>Fazonski komadi za bypass hidrostanice</t>
  </si>
  <si>
    <t>Dobava, donos i ugradnja ugradbene armature (zasuni, nepovratni ventili, manometar i sl.) za izvedbu bypass-a kod hidrostanice za protupožarnu mrežu. 
U stavku ulazi dobava, donos i ugradnja sve ugradbene armature. U stavci je uključen sav potreban rad i materijal sa dopremom na gradilište. 
Obračun po kompletu.</t>
  </si>
  <si>
    <t>Navrtni ventil DN80 mm</t>
  </si>
  <si>
    <t>Hvatač nečistoća DN80 mm</t>
  </si>
  <si>
    <t>Nepovratni ventil DN80 mm</t>
  </si>
  <si>
    <t>Glicerinski manometar 0 – 16 bar, DN80 mm, + kuglasti ventil s odzračnikom 1/2"</t>
  </si>
  <si>
    <t>18</t>
  </si>
  <si>
    <t xml:space="preserve">Provjera postojećeg pogona fontane </t>
  </si>
  <si>
    <t>U stavku ulazi: pregled, ispitivanje, popravak, spajanje, dobava, donos i montaža rezervnih dijeova, sav materijal i rad, te puštanje u pogon u funkcionalnom stanju.Obračun po kompletu.</t>
  </si>
  <si>
    <t>19</t>
  </si>
  <si>
    <t>Demontaža postojećih instalacija vodovoda u objektu</t>
  </si>
  <si>
    <t>Demontirati sve vertikalne i sve horizontalne razvode instalacija vodovoda. U stavku se uračunava demontaža svih razvoda vodovoda, uključujući sav potreban rad. Cijevi odvesti na deponiju. Za izračun uklanjanja cijevi uzeto 70% ukupnog razvoda novog cjevovoda.
Obračun po m'.</t>
  </si>
  <si>
    <t>različiti promjeri cijevi</t>
  </si>
  <si>
    <t>20</t>
  </si>
  <si>
    <t>Demontaža postojećih instalacija vodovoda u terenu</t>
  </si>
  <si>
    <t>Demontaža postojećih instalacija vodovoda u koridoru iskopa, uključujući sav potreban rad. Iste cijevi odvesti na deponiju odlaganja smeća ili na odlagalište materijala.  Za izračun uklanjanja cijevi uzeto 70% ukupnog razvoda novog cjevovoda.
Obračun po m'.</t>
  </si>
  <si>
    <t>21</t>
  </si>
  <si>
    <t>Demontaža postojeće hidrostanice hidrantske mreže</t>
  </si>
  <si>
    <t>Demontaža postojeće hidrostanice i tanka vode. 
Istu ostaviti investitoru na raspolaganje, a po potrebi odvesti na odlagalište sa kompletnim otpadom sa gradilišta ili zasebno. Obračun po komadu.</t>
  </si>
  <si>
    <t>22</t>
  </si>
  <si>
    <t>Demontaža zidnih hidranata</t>
  </si>
  <si>
    <t>Demontaža postojećih zidnih hidranata unutar predmetnog zahvata uključujući sav potreban rad. Iste ostaviti investitoru na raspolaganje, ili u dogovoru s istim odvesti na odlagalište. 
Obračun po komadu.</t>
  </si>
  <si>
    <t>23</t>
  </si>
  <si>
    <t>Rušenje postojećeg vodomjernog okna</t>
  </si>
  <si>
    <t>Rušenje postojećeg vodomjernog okna i odvoz materijala na deponiju, uključujući poklopac. Prilikom rušenja obavezno zaštiti postojeće instalacije vode spojene na šaht.
U stavku ulazi: demontaža, rušenje i odvoz materijala na deponiju, uključujući poklopac i temelj, i sav potreban materijal i rad.
Obračun po komadu.</t>
  </si>
  <si>
    <t>VODOVODNI SUSTAVI</t>
  </si>
  <si>
    <t>3. KANALIZACIJSKI SUSTAVI</t>
  </si>
  <si>
    <t>Spajanje na komunalni kanalizacijski sustav</t>
  </si>
  <si>
    <t>Izvedba priključka kanala mješovite interne kanalizacije na revizijsko okno javne ulične odvodnje.</t>
  </si>
  <si>
    <t>Potrebne radove utvrditi na licu mjesta te izvesti prema naputku Nadzornog inženjera te predstavnika Komunalnog poduzeća.</t>
  </si>
  <si>
    <t>Tu je potrebno je obuhvatiti  sve građevinske i monterske radove. U cijenu uključiti demontažu postojećeg kanala, montažu umetaka sa brtvom i novih cijevi vanjske kanalizacije. Sve otvore vodonepropusno zabrtviti cementnim mortom.</t>
  </si>
  <si>
    <t>Obračun se vrši po kompletno izvedenom  priključku kanalizacije na postojeće vanjsko reviziono okno do pune funkcije.</t>
  </si>
  <si>
    <t>mješovita kanalizacija</t>
  </si>
  <si>
    <t>PVC kanalizacijske cijevi</t>
  </si>
  <si>
    <r>
      <t xml:space="preserve">Nabava, doprema i ugradnja punostjenih, neomekšanih PVC-U kanalizacijskih cijevi </t>
    </r>
    <r>
      <rPr>
        <b/>
        <sz val="8.6"/>
        <color indexed="8"/>
        <rFont val="Arial"/>
        <family val="2"/>
        <charset val="238"/>
      </rPr>
      <t>SN8</t>
    </r>
    <r>
      <rPr>
        <sz val="8.6"/>
        <color indexed="8"/>
        <rFont val="Arial"/>
        <family val="2"/>
        <charset val="238"/>
      </rPr>
      <t xml:space="preserve"> SDR34 i fazonskih komada za fekalnu i oborinsku odvodnju.  Cijevi s integriranim utičnim kolčakom i uloženim brtvenim prstenom od sintetičnog kaučuka, prstenaste čvrstoće</t>
    </r>
    <r>
      <rPr>
        <strike/>
        <sz val="8.6"/>
        <color indexed="8"/>
        <rFont val="Arial"/>
        <family val="2"/>
        <charset val="238"/>
      </rPr>
      <t>,</t>
    </r>
    <r>
      <rPr>
        <sz val="8.6"/>
        <color indexed="8"/>
        <rFont val="Arial"/>
        <family val="2"/>
        <charset val="238"/>
      </rPr>
      <t xml:space="preserve">  SN8 SDR34. Cijevi se spajaju prema preporuci proizvođača cijevi,  potpuno vodonepropusno, a polažu se u za to pripremljene rovove. Fazonske komade uključiti u jediničnu cijenu mt cijevi i ne iskazuju se i ne obračunavaju posebno.</t>
    </r>
  </si>
  <si>
    <t>Obračun se vrši po 1,0 m kompletno ugrađene i spojene cijevi, uključujući i potrebne fazonske komade, sa svim potrebnim priborom za spajanje i prijenosima, te detekcijsku traku.</t>
  </si>
  <si>
    <t>Ø 110 mm</t>
  </si>
  <si>
    <t>Ø 160 mm</t>
  </si>
  <si>
    <t>Ø 200 mm</t>
  </si>
  <si>
    <t>Ø 250 mm</t>
  </si>
  <si>
    <t>PEHD kanalizacijska okna DN630</t>
  </si>
  <si>
    <t>Nabava, doprema i montaža orebrenih PEHD revizijskih okana s ugrađenim naglavcima za ulaznu i izlaznu cijev prema padovima i tlocrtnim kutevima iz projekta. Obračun po komadu ugrađenog okna. Uključeno potrebno bušenje i spajanje cijevne instalacije na samom mjestu izvedbe.</t>
  </si>
  <si>
    <t>DN630 - visine do 1,2 m</t>
  </si>
  <si>
    <t>PEHD kanalizacijska okna DN800</t>
  </si>
  <si>
    <t>Nabava, doprema i montaža orebrenih PEHD revizijskih okana s integriranim penjalicama i ugrađenim naglavcima za ulaznu i izlaznu cijev prema padovima i tlocrtnim kutevima iz projekta. Obračun po komadu ugrađenog okna s tvornički ugrađenim penjalicama. Uključeno potrebno bušenje i spajanje cijevne instalacije na samom mjestu izvedbe.</t>
  </si>
  <si>
    <t>DN800 - visine do 1,3 m</t>
  </si>
  <si>
    <t>PEHD kanalizacijska okna DN1000</t>
  </si>
  <si>
    <t>DN1000 - visine do 1,3 m</t>
  </si>
  <si>
    <t>Armirano betonski prsten - D400 kN</t>
  </si>
  <si>
    <t>Nabava, isporuka i ugradnja armirano betonskog prstena. Armirano betonski prsten mora biti izveden u skladu sa zahtjevima teškog prometnog opterećenje klase D 400 minimalne težine 150 kg i odgovarajućom armaturom mrežom min. težine 14 kg. Površina betonskog prstena u zoni kontakta s brtvenim elementom mora biti izvedena glatko kako bi se osigurala vodotijesnost.
Obračun po komadu.</t>
  </si>
  <si>
    <t>Punotjesni poklopac u obradi poda - B125 kN</t>
  </si>
  <si>
    <t>Dobava, donos i ugradnja  poklopca u obradi poda za ugradnju na revizijsko okno u pješačkoj stazi. Okvir i pokrovna ploča izvedeni su iz aluminija, vodo – plinotijesan. Komplet uključuje četiri spojna vijka, neoprensku brtvu i navojne ručke za otvaranje i podizanje poklopca.
U stavku ulazi dobava, donos i ugradnja poklopca, te sav potrebni materijal i rad. Obračun po komadu.</t>
  </si>
  <si>
    <t>vodo – plinotijesni poklopac nosivosti klase B125 kN, u obradi poda</t>
  </si>
  <si>
    <t>Punotjesni poklopac u obradi poda - D400 kN</t>
  </si>
  <si>
    <t>Dobava, donos i ugradnja  poklopca u obradi poda za ugradnju na revizijsko okno u kolnoj površini. Okvir i pokrovna ploča izvedeni su iz aluminija, vodo – plinotijesan. Komplet uključuje četiri spojna vijka, neoprensku brtvu i navojne ručke za otvaranje i podizanje poklopca.
U stavku ulazi dobava, donos i ugradnja poklopca, te sav potrebni materijal i rad. Obračun po komadu.</t>
  </si>
  <si>
    <t>vodo – plinotijesni poklopac nosivosti klase D400 kN, u obradi poda</t>
  </si>
  <si>
    <t>Linijska kanalica širine 15 cm - kolni ulaz</t>
  </si>
  <si>
    <t>Dobava i montaža kanala za linijsku odvodnju, nosivosti A15 do E600, s tvornički integriranom EPDM brtvom, koja garantira apsolutnu vodotijesnost spojeva kanala bez dodatnog brtvljenja . Kanal se zbog specifičnog  V-presjeka odlikuje većom brzinom otjecanja vode i boljim efektom samočišćenja. Kanal je izrađen iz polimerbetona, ojačan bočnim rebrima zbog povećane krutosti, građevinske visine 150 - 250 mm. Svjetla širina kanala je 150 mm, građevinska dužina 1000 mm. Rubovi kanala ojačani su DVOSTRUKO PROFILIRANIM kutnikom od pocinčanog čelika debljine 4 mm koji služi kao dosjed za polaganje pokrovne rešetke s učvršćivanjem rešetke bez vijaka. Kanal se izvodi polaganjem na betonsku podlogu marke B25 debljine sloja 15 cm, bočno  kanal založiti betonom. Gornji rub  rešetke se izvodi u razini 2 - 5 mm ispod kote gotove završne okolne površine. Sve sa priborom za montažu do potpune funkcionalnosti.</t>
  </si>
  <si>
    <t>linijski kanal</t>
  </si>
  <si>
    <t>Dobava i montaža sabirnika iz polimerbetona, s učvršćivanjem rešetke bez vijaka, s taložnom posudom od  PP. Svijetla širina sabirnika 150 mm, duljine 500  mm, sa  izljevom  DN150. Rub kanala pojačan DVOSTRUKO PROFILIRANIM kutnikom od pocinčanog čelika debljine 4 mm koji služi kao dosjed za polaganje pokrovne rešetke s učvršćivanjem rešetke bez vijaka.</t>
  </si>
  <si>
    <t>Dobava i montaža pokrovnih rešetki za opterećenje D400 iz inox-a sa sistemom bezvijčane ukrute. 
D400 INOX mrežasta rešetka</t>
  </si>
  <si>
    <t xml:space="preserve">Izrada i ugradnja suhog betona za postavljanje linijske odvodnje, marke C20/25, agregata frakcije 0 -16 drobljenog kamena u debljini sloja  20 cm, bočno  kanal založiti betonom. </t>
  </si>
  <si>
    <t>Linijska šlic kanalica - pješačke staze</t>
  </si>
  <si>
    <t>Dobava i montaža kanala za linijsku odvodnju nosivosti A15 do E600 prema HR EN 1433. Kanal se zbog specifičnog  V-presjeka odlikuje većom brzinom otjecanja vode i boljim efektom samočišćenja. Kanal je izrađen iz polimerbetona, građevinske visine 150 - 250 mm. Svjetla širina kanala je 100 mm, građevinska širina 135 mm, građevinska dužina 1000 mm. Rubovi kanala ojačani su kutnikom od nehrđajućeg čelika debljine 4 mm koji služi kao dosjed za polaganje pokrovne rešetke. Kanalski elementi su izvedeni u  pet građevinskih visina (kaskadni pad) ili kontinuiranim padom od 0,5%. Kanal se izvodi polaganjem na betonsku podlogu marke B25 debljine sloja 15 cm, bočno  kanal založiti betonom. Gornji rub  rešetke se izvodi u razini 2 - 5 mm ispod kote gotove završne okolne površine. Sve sa priborom za montažu do potpune funkcionalnosti. Art. 12430</t>
  </si>
  <si>
    <t xml:space="preserve">Dobava i montaža pokrovnih rešetki za opterećenje C250 prema iz nehrđajućeg čelika AiSi304, sa rasporom širine 10 mm. Rešetka je visine 10,5 cm, duljine 100 cm. </t>
  </si>
  <si>
    <t>Dobava i montaža sabirnika iz polimerbetona, s učvršćivanjem rešetke bez vijaka, s taložnom posudom od  PVC. Svijetla širina sabirnika 100 mm,  građevinska  širine 135 mm , građevinska visine 450 mm u plitkoj izvedbi, duljine 500  mm, sa  izljevom  DN100 / DN150. Rub kanala pojačan profilom od nehrđajućeg čelika debljine 4 mm.</t>
  </si>
  <si>
    <t xml:space="preserve">Dobava i montaža revizionog elementa za opterećenje C250 iz nehrđajućeg čelika AiSi304,a sa rasporom širine 10 mm. Revizija je visine 10,5 cm, duljine 50 cm. </t>
  </si>
  <si>
    <t>Linijska kanalica - vanjska strojarnica</t>
  </si>
  <si>
    <t>Dobava i montaža kanala za linijsku odvodnju oborinskih voda po nosivosti A15. Kanal se zbog specifičnog klinastog presjeka odlikuje velikom stabilnošću nakon ugradnje. Kanal je izrađen iz polimerbetona, građevinske visine 60 mm. Svjetla širina kanala je 100 mm, građevinska širina 172 mm, građevinska dužina 1000 mm. Rubovi kanala su u punom profilu od polimerbetona - antikorozivna izvedba, sa oblikovanim rubom koji služi kao dosjed za polaganje pokrovne rešetke. Svaki kanal ima na spoju utor za aplikaciju PU brtvene mase kao i utore i istake za osiguranje spoja od pomaka tijekom montaže. Gornji rub kanala se izvodi u razini 2 - 5 mm ispod kote gotove završne okolne površine. Sve izvesti sa priborom za montažu do potpune funkcionalnosti.        
U stavku ulazi dobava, donos i ugradnja kanala, te sav potreban materijal i rad. 
Obračun po m'.</t>
  </si>
  <si>
    <t>Dobava i montaža pokrovnih rešetki za opterećenje A15, iz visokokvalitetne kompozitne plastike, mosna sa sistemom bezvijčane ukrute. Rešetka je širine 123 mm, duljine 50 cm , upojne površine 284 cm²/m. Utrošak dvije rešetke po kom kanala.
Obračun po komadu.</t>
  </si>
  <si>
    <t>Dobava, donos i ugradnja plastičnog podnog odvoda DN75 horizontalni, sa protokom 2,50 l/s, prirubnicom za prihvat odgovarajućeg pribora za spoj sa hidroizolacijom, suhim zatvaračem zadaha otpornim na smrzavanje, nastavnim okvirom podesivim po visini 8 - 80 mm / 145 x 145 mm sa mogućnošću odvodnje procjedne vode sa hidroizolacije, uljevnom INOX rešetkom 138 x 138 mm nosivosti 300 kg.  Prilikom spajanja na hidroizolaciju potrebno je upotrijebiti odgovarajući proizvod za spoj sa hidroizolacijom.
U stavku ulazi: dobava, donos i ugradnja plastičnih podnih odvoda, izvedba priključaka na dovodnu i odvodnu cijev, izrada spoja hidroizolacije uključujući sav potreban materijal i rad. Obračun po komadu.</t>
  </si>
  <si>
    <r>
      <rPr>
        <b/>
        <sz val="8.6"/>
        <color indexed="8"/>
        <rFont val="Arial"/>
        <family val="2"/>
      </rPr>
      <t>Niskošumne kanalizacijske cijevi</t>
    </r>
    <r>
      <rPr>
        <b/>
        <sz val="8.6"/>
        <color indexed="8"/>
        <rFont val="Arial"/>
        <family val="2"/>
        <charset val="238"/>
      </rPr>
      <t xml:space="preserve">
</t>
    </r>
    <r>
      <rPr>
        <sz val="8.6"/>
        <color indexed="8"/>
        <rFont val="Arial"/>
        <family val="2"/>
      </rPr>
      <t>- za vertikalni i etažni razvod kondenzata i fekalne kanalizacije u objektu</t>
    </r>
  </si>
  <si>
    <t>Nabava , doprema i montaža niskošumnog sustava  za kućnu odvodnju otpadnih voda.
Cijevi  i fitinzi klase primjene BD (dozvoljena ugradnja do spoja na ulični kanalizacijski sustav). Klasa  čvrstoće cijevi SN4, fitinzi S16.  Stavka  uključuje i fazonske komade te potreban pričvrsni pribor i originalne zvučno izolirane obujmice s gumenim uloškom za definirani zvučno izolirani-niskošumni sistem odvodnje uključujući i gumirane podložne pločice. Fasonski komadi se ne obračunavaju posebno nego se uključuju u metražu instalacije. Polaganje instalacije izvršiti prema tvorničkim uputama za postavljanje. 
Obračun se vrši po m'.
U stavku ulazi dobava, donos i ugradnja kanalizacijskih cijevi, fazonskih komada, sav potreban materijal i rad.
Obračun se vrši po m'.</t>
  </si>
  <si>
    <t>Ø 40 mm</t>
  </si>
  <si>
    <t>Ø 50 mm</t>
  </si>
  <si>
    <t>Ø 75 mm</t>
  </si>
  <si>
    <t>Ugradbeni sifon za kondenzat</t>
  </si>
  <si>
    <t xml:space="preserve">Dobava, donos i ugradnja sifona za kondenzat sa vodenim i mehaničkim zatvaračem zadaha, sa priključkom 20 - 32 mm, izlazom DN32, protoka 0,15 l/s, sa kraćenjem podesivom građevinskom zaštitom, poklopcem, izmjenjivim prozirnim sifonskim umetkom sa 50 mm zaporne visine vodenog stupca i kuglom za blokadu mirisa u slučaju isparivanja vode iz sifona. </t>
  </si>
  <si>
    <t>Obračun se vrši po komadu kompletno montiranih sifona, uključujući sav potreban materijal.</t>
  </si>
  <si>
    <t>Protočni podni odvod za sanitarne čvorove</t>
  </si>
  <si>
    <t>Dobava, donos i ugradnja podnog odvoda DN50 - horizontalni sa bočnim priključkom DN40/50, protokom 0,50 l/s, prirubnicom za prihvat odgovarajućeg pribora za spoj sa hidroizolacijom, mokrim umetkom zatvarača zadaha sa protupovratnim osiguračem, nastavnim okvirom podesivim po visini 12 - 70 mm / 123 x 123 mm sa mogućnošću odvodnje procjedne vode sa hidroizolacije, uljevnom INOX rešetkom 115 x 115 mm nosivosti 300 kg. Prilikom spajanja na hidroizolaciju potrebno je upotrijebiti odgovarajući proizvod za spoj sa hidroizolacijom. Uračunati svi potrebni dijelovi za pravilnu ugradnju.
Obračun po komadu.</t>
  </si>
  <si>
    <t>podni odvod Ø50</t>
  </si>
  <si>
    <t>Podni odvod za tehničke prostorije - Ø110mm</t>
  </si>
  <si>
    <t>Dobava, donos i ugradnja podnog slivnika od PE otporan na temperaturu do 85°C, DN110 vertikalni, sa protokom 0,8 l/s,  prirubnicom za prihvat odgovarajućeg pribora za spoj sa hidroizolacijom, umetkom zatvarača zadaha koji blokira miris i bez vode u sifonu, nastavnim INOX okvirom podesivim po visini 8 - 80 mm / 145 x 145 mm sa mogućnošću odvodnje procjedne vode sa hidroizolacije, uljevnom INOX rešetkom 138 x 138 mm nosivosti 300 kg. Prilikom spajanja na hidroizolaciju potrebno je upotrijebiti odgovarajući proizvod za spoj sa hidroizolacijom.
Obračun po komadu.</t>
  </si>
  <si>
    <t>podni odvod  Ø110</t>
  </si>
  <si>
    <t>Odzračna vertikala</t>
  </si>
  <si>
    <t>Dobava, donos i ugradnja PP cijevi za izvedbu odzračivanja fekalnih kanalizacijskih vertikala od posljednjeg spoja na zadnjem katu do vanjske strojarnice u potkrovlju (cca 10 m), Ventilacijski nastavak završiti bočno u vanjskoj strojarnici ventilacijskim kapama Ø110.  U stavku ulazi dobava, donos i ugradnja  kanalizacijske cijevi, ventilacijske kape, sav potreban materijal i rad. 
Obračun po kompletu.</t>
  </si>
  <si>
    <t>Automatski cijevni dozračnik</t>
  </si>
  <si>
    <t>Automatski dozračnik ugraditi u sanitarnim čvorovima, učionicama i kuhinjama gdje nije moguće izvesti ventilacijske nastavke na krov. U stavku ulazi dobava, donos i ugradnja automatskog dozračnika te sav potreban materijal i rad. 
Obračun po komadu.</t>
  </si>
  <si>
    <t xml:space="preserve">automatski dozračnik </t>
  </si>
  <si>
    <t>Dobava i ugradnja tipskih revizijskih vratašca od nehrđajućeg metala. Vratašca služe za pristup revizijskim komadima na sustavu odvodnje. Tip i položaj vratašca obavezno uskladiti s projektom interijera. Obračun po komadu.</t>
  </si>
  <si>
    <t>Čistilice - revizijski komad</t>
  </si>
  <si>
    <t>Dobava i montaža PP čistilica na sustavu odvodnje. Postaviti prema nacrtima i pravilima struke.</t>
  </si>
  <si>
    <t>Obračun se vrši po komadu montirane čistilice.</t>
  </si>
  <si>
    <t>Mala precrpna stanica</t>
  </si>
  <si>
    <t>Prepumpna stanica s rešetkom za podzemnu ugradnju, pumpa s plovkom 0,3 kW. Doba, donos i ugradnja sa svim potrebnim materijalom.</t>
  </si>
  <si>
    <t>precrpna stanica</t>
  </si>
  <si>
    <t>Kanalizacijske pumpe</t>
  </si>
  <si>
    <t>Dobava, donos i ugradnja potopnih kanalizacijskih pumpi tehničkih karakteristika:
230V, 50 Hz, 0.75 kW, 4.93 A, 2900 min-1, izlaz R2",
s 10 m priključnog kabela, bez plovka.
U stavku ulazi dobava, donos i montaža pumpi sa svim potrebnim materijalom i radom, te puštanje u pogon u funkcionalnom stanju. 
Obračun po kompletu.</t>
  </si>
  <si>
    <r>
      <rPr>
        <sz val="8.5"/>
        <rFont val="Arial"/>
        <family val="2"/>
      </rPr>
      <t>potopna inox crpka za otpadnu vodu,
s vrtložnim (vortex) radnim kolom</t>
    </r>
    <r>
      <rPr>
        <b/>
        <sz val="8.5"/>
        <rFont val="Arial"/>
        <family val="2"/>
        <charset val="238"/>
      </rPr>
      <t xml:space="preserve"> </t>
    </r>
    <r>
      <rPr>
        <sz val="8.5"/>
        <rFont val="Arial"/>
        <family val="2"/>
      </rPr>
      <t>- 2 kom</t>
    </r>
  </si>
  <si>
    <t>Montažni pribor za spuštanje crpki na vodilice:
         - montažno koljeno fiksno 2"
         - gornji držač vodilica
         - lanac za podizanje crpke
         - sidreni vijci</t>
  </si>
  <si>
    <t>kanalizacijski nepovratni ventil s kuglom, Ø50</t>
  </si>
  <si>
    <t>zasun, Ø50 (s metalanim brtvljenjem)</t>
  </si>
  <si>
    <r>
      <rPr>
        <b/>
        <sz val="8.5"/>
        <rFont val="Arial"/>
        <family val="2"/>
        <charset val="238"/>
      </rPr>
      <t>Upravljački ormar</t>
    </r>
    <r>
      <rPr>
        <sz val="8.5"/>
        <rFont val="Arial"/>
        <family val="2"/>
      </rPr>
      <t xml:space="preserve"> za ručni i automatski izmjenični rad dvije crpke, 230 V, 2×0.75 kW, s plovkom, direktni start, s osiguračima, upravljačkim i zaštitnim elementima.
Upravljački ormar je opremljen sa:
- glavnom sklopkom
- vremenskim izmjenjivanjem crpki,
- alarmom visokog nivoa vode s plovkom
Upravljački ormar je za unutarnju montažu.</t>
    </r>
  </si>
  <si>
    <t>U stavku ulazi dobava, donos i montaža upravljačkog ormara sa svim spojnim materijalom i radom, te puštanje u pogon u funkcionalnom stanju. Obračun po kompletu.</t>
  </si>
  <si>
    <t>Mehanički nivoregulator tip s 10 m kabela i utegom</t>
  </si>
  <si>
    <t>držač nivoregulatora</t>
  </si>
  <si>
    <t>PEHD kanalizacijske cijevi - tlačna odvodnje precrpne stanice</t>
  </si>
  <si>
    <t>Nabava, doprema i ugradnja PEHD cijevi PE 100, SDR 17, za radni tlak do 10 bara, vanjskog nazivnog promjera DN. Doprema u kolutovima duljine 100m ili palicama minimalne duljine 12 m. Cijevi se polažu na pješćanu posteljicu prema naputcima proizvođača, te se spajaju uz pomoć elektrofuzijskih spojnica. Fazonske komade uključiti u jediničnu cijenu mt cijevi i ne iskazuju se i ne obračunavaju posebno.</t>
  </si>
  <si>
    <t>Obračun se vrši po 1,0 m kompletno ugrađene i spojene cijevi, uključujući i potrebne fazonske komade, sa svim potrebnim priborom za spajanje i prijenosima.</t>
  </si>
  <si>
    <t>Vrsta cijevi SDR17 - PN 10 i nominalne veličine:</t>
  </si>
  <si>
    <t>DN 40x2,4 mm (d 32 mm) - hidrostanica</t>
  </si>
  <si>
    <t>DN 75x4,5 mm (d 65 mm) - sprinkler stanica</t>
  </si>
  <si>
    <t>deflektor</t>
  </si>
  <si>
    <t>Demontaža postojećih instalacija odvodnje u objektu</t>
  </si>
  <si>
    <t>Demontirati sve vertikalne i sve horizontalne razvode instalacija odvodnje. U stavku se uračunava demontaža svih razvoda odvodnje, uključujući sav potreban rad. Cijevi odvesti na deponiju. Za izračun uklanjanja cijevi uzeto 70% ukupnog razvoda novog cjevovoda.
Obračun po m'.</t>
  </si>
  <si>
    <t>24</t>
  </si>
  <si>
    <t>Demontaža postojećih instalacija odvodnje u terenu</t>
  </si>
  <si>
    <t>Demontaža postojećih instalacija odvodnje u koridoru iskopa, uključujući sav potreban rad. Iste cijevi odvesti na deponiju odlaganja smeća ili na odlagalište materijala.  Za izračun uklanjanja cijevi uzeto 70% ukupnog razvoda novog cjevovoda.
Obračun po m'.</t>
  </si>
  <si>
    <t>25</t>
  </si>
  <si>
    <t>Rušenje postojećih šahtova</t>
  </si>
  <si>
    <t>Rušenje postojećih betonskih šahtova kanalizacije i odvoz materijala na deponiju, uključujući poklopac, temelj i instalacije spojene na šaht.
U stavku ulazi: demontaža, rušenje i odvoz materijala na deponiju, uključujući poklopac i temelj, i sav potreban materijal i rad.
Obračun po komadu.</t>
  </si>
  <si>
    <t>KANALIZACIJSKI SUSTAVI</t>
  </si>
  <si>
    <t>4. SANITARNA OPREMA</t>
  </si>
  <si>
    <t>STANDARDNA SANITARNA OPREMA</t>
  </si>
  <si>
    <t>Napomena: svi instalirani uređaji za vodu (tuševi s miješalicom, slavine, WC školjke i vodokotlići i slično) moraju biti svrstani u prva 2 razreda potrošnje vode EU vodne oznake EU Water Label (http://www.europeanwaterlabel.eu/), čime se osigurava ostvarenje minimalnog uvjeta zaštite voda i mora;</t>
  </si>
  <si>
    <t>a.</t>
  </si>
  <si>
    <t xml:space="preserve">Umivaonik - poluupušteni na ploči </t>
  </si>
  <si>
    <t>Dobava i ugradnja umivaonika od keramike I klase (pravokutni oblik 60x40(20cm na ploči, 20cm prepušteno)x15cm) u kompletu sa stojećom jednoručnom mješalicom za umivaonik sa termičkom zaštitom (inox – bijeli mat), TV+HV, s perlatorom s ograničenjem protoka vode, dva gibljiva crijeva R⅜" za priključak vode sa sitima protiv nečistoća i nepovratnim ventilima, te kromirani odvod. Ugradnja umivaonika poluupušteno na ploču.
Prilikom ugradnje pridržavati se uputa proizvođača. Obračun po komadu komplet ugrađenog umivaonika.</t>
  </si>
  <si>
    <t>materijal</t>
  </si>
  <si>
    <t>rad</t>
  </si>
  <si>
    <t>b.</t>
  </si>
  <si>
    <t>Umivaonik - nadgradni na ploči</t>
  </si>
  <si>
    <t>Dobava i ugradnja samostojećeg umivaonika od keramike I klase (pravokutni oblik 50.5x45x15cm) u kompletu sa stojećom jednoručnom mješalicom za umivaonik sa termičkom zaštitom (inox – bijeli mat), TV+HV, s perlatorom s ograničenjem protoka vode, dva gibljiva crijeva R⅜" za priključak vode sa sitima protiv nečistoća i nepovratnim ventilima, te kromirani odvod. Ugradnja umivaonika na ploču.
Prilikom ugradnje pridržavati se uputa proizvođača. Obračun po komadu komplet ugrađenog umivaonika.</t>
  </si>
  <si>
    <t>c.</t>
  </si>
  <si>
    <t>Umivaonik - zidni</t>
  </si>
  <si>
    <t>Dobava i ugradnja samostojećeg umivaonika od keramike I klase (pravokutni oblik 50.5x45x15cm) u kompletu sa stojećom jednoručnom mješalicom za umivaonik sa termičkom zaštitom (inox – bijeli mat),  TV+HV, s perlatorom s ograničenjem protoka vode, dva gibljiva crijeva R⅜" za priključak vode sa sitima protiv nečistoća i nepovratnim ventilima, te kromirani odvod. Ugradnja umivaonika na zid ili na nosivu podkonstrukciju - montažni element za umivaonik. Uračunta dobava i ugradnja montažnih elemenata za umivaonike.
Prilikom ugradnje pridržavati se uputa proizvođača. Obračun po komadu komplet ugrađenog umivaonika.</t>
  </si>
  <si>
    <t>d.</t>
  </si>
  <si>
    <t>WC školjka - konzolna</t>
  </si>
  <si>
    <t>Dobava, prijenos i montaža kompletnog WC-a ,  koji se sastoji od:</t>
  </si>
  <si>
    <t>-konzolne keramičke  WC školjke bez unutarnjeg ruba "Rimfree" dimenzije 36x57x37.5cm, bijelo.</t>
  </si>
  <si>
    <t>-pripadajuće sjedalo s poklopcem (daska): materijal duroplast, sporospuštajuća daska, antibakterijska površina, lako uklonjiva (quick-release mehanizam), bijelo</t>
  </si>
  <si>
    <t>-montažnog instalacijskog elementa za WC školjku visine ugradnje 112 cm    s niskošumnim ugradbenim vodokotlićem za 4.5/2 ispiranje. Instalacijski element je samonosiv za ugradnju u suhomontažnu zidnu ili predzidnu konstrukciju obloženu gipskartonskim pločama, komplet s integriranim kutnim ventilom priključka vode ½", niskošumnim uljevnim ventilom, odvodnim koljenom d90/110 mm sa zvučno izoliranom ubujmicom, spojnim komadom za WC školjku s brtvenim manžetama i setom zvučne izolacije, vijcima za učvršćenje keramike i svim potrebnim priborom za ugradnju prema uputama proizvođača.</t>
  </si>
  <si>
    <t>-odgovarajuća dvokoličinska tipka, aktivacija moguća sprijeda ili odozgo, premaz protiv otisaka prstiju, antibakterijska površina, inox – bijeli mat.</t>
  </si>
  <si>
    <t>Obračun se vrši po komadu kompletno montirane WC školjke, sa spojem na dovod i odvod, uključivši sav potreban materijal za montažu do pune funkcije.</t>
  </si>
  <si>
    <t>e.</t>
  </si>
  <si>
    <t>WC školjka - konzolna / ugradnja u prizemlju ispod prozora</t>
  </si>
  <si>
    <t xml:space="preserve">montažnog instalacijskog elementa dubine 8cm, za WC školjku visine ugradnje 114cm, širine 50cm s montažnim čeličnim okvirom dim.  4x4cm. Instalacijski element je samonosiv za ugradnju u suhomontažnu zidnu ili predzidnu konstrukciju obloženu gipskartonskim pločama, kompletno s integriranim kutnim ventilom priključka vode ½", niskošumnim ugradbenim vodokotlićem s mogućnošću podešavanja  količine ispiranja 4.5/2, izrađenim prema HRN EN 14055:2011, integriranim hidrauličkim niskošumnim uljevnim ventilom za radni tlak 0,1-10 bara, nivoa buke  12dB(A)/3bara. Instalacijski element ima integrirane potporne noge prikladne za ugradnju U - profile UW 50/75 s mogućnošću podešavanja visine 0-20cm, odvodno koljeno d90/110 mm sa zvučno izoliranom obujmicom, spojnim komadom za WC školjku s brtvenim manžetama i set zvučne izolacije, vijke za učvršćenje keramike i sav potreban pribor za ugradnju prema uputama proizvođača. </t>
  </si>
  <si>
    <t>f.</t>
  </si>
  <si>
    <t>Tuš kada</t>
  </si>
  <si>
    <t>Dobava, prijenos i montaža tuš kade 150x80x5cm (materijal akril, ugradnja na keramičke pločice) koja se sastoji od: tuš kade, sifona za tuš kadu, tuš stakla (150 (fiksni dio 90 + 60 zaokretna vrata)x150-200cm, kaljeno 8mm staklo, bočni okov uz zid inox – bijeli mat) zidne jednoručne mješalice za kadu TV+HV s perlatorom s ograničenjem protoka vode (jednoručna mješalica sa slavinom + ručni tuš, nadžbukna instalacija, inox – bijeli mat). Prilikom ugradnje pridržavati se uputa proizvođača.
Obračun po komadu komplet ugrađenoj tuš kadi.</t>
  </si>
  <si>
    <t>g.</t>
  </si>
  <si>
    <t>Pisoar</t>
  </si>
  <si>
    <t>Dobava i ugradnja zidnog pisoara od keramike I klase (41x80cm), s integriranim uređajem za aktiviranje ispiranja, napajanje baterijama, odvodnom garniturom te nosivom potkonstrukcijom. Stavkom obuhvačena dobava, montaža, spajanje na instalacije. Prilikom ugradnje pridržavati se uputa proizvođača.
Obračun po komadu komplet ugrađenog pisoara.</t>
  </si>
  <si>
    <t>h.</t>
  </si>
  <si>
    <t>Sudoper</t>
  </si>
  <si>
    <t xml:space="preserve">Dobava i montaža sudopera (kompozitni od kvarcita i akrila),  komplet sa sa stojećom jednoručnom mješalicom za sudoper, HV, s perlatorom s ograničenjem protoka vode, gibljivo crijevo R⅜" za priključak vode sa sitima protiv nečistoća i nepovratnim ventilima, odlivnom armaturom te priborom za montažu. Prilikom ugradnje pridržavati se uputa proizvođača. 
Obračun po komadu komplet ugrađenog sudopera.  </t>
  </si>
  <si>
    <t>i.</t>
  </si>
  <si>
    <t>Držač za toaletni papir</t>
  </si>
  <si>
    <t>Nabava, doprema i montaža držača za toaletni papir, inox -  bijeli mat, koji se montira na zid, a postavljaja se uz WC školjku.</t>
  </si>
  <si>
    <t>Obračun se vrši po komadu montiranog zidnog držača toaletni papir, uključujući sav potreban materijal za montažu.</t>
  </si>
  <si>
    <t>j.</t>
  </si>
  <si>
    <t>WC četka</t>
  </si>
  <si>
    <t>Nabava, doprema i montaža WC četke, inox -  bijeli mat, koji se postavlja na zid uz WC školjku.</t>
  </si>
  <si>
    <t>Obračun se vrši po komadu postavljene WC četke, uključujući sav potreban materijal za montažu.</t>
  </si>
  <si>
    <t>k.</t>
  </si>
  <si>
    <t>Dispanzer tekućeg sapuna</t>
  </si>
  <si>
    <t>Nabava, doprema i montaža zidnog dispanzera tekućeg sapuna.</t>
  </si>
  <si>
    <t>Dispanzer se montira na zid, inox -  bijeli mat i kapacitera 350ml tekućeg sapuna, a postavlja se uz umivaonik.</t>
  </si>
  <si>
    <t>Obračun se vrši po komadu montiranog zidnog dispanzera tekućeg sapuna, uključujući sav potreban materijal za montažu.</t>
  </si>
  <si>
    <t>l.</t>
  </si>
  <si>
    <t>Dozator papirnatih ručnika u inoxu</t>
  </si>
  <si>
    <t>Nabava i doprema i montaža zidnog dozatora papirnatih ručnika, inox -  bijeli mat.  Postavljaju se pokraj svakog umivaonika.</t>
  </si>
  <si>
    <t>Obračun se vrši po komadu postavljenog držača role, uključujući sav potreban materijal za montažu.</t>
  </si>
  <si>
    <t>m.</t>
  </si>
  <si>
    <t>Ogledalo</t>
  </si>
  <si>
    <t>Nabava, doprema i montaža zidnog ogledala veličine cca 100x80cm).</t>
  </si>
  <si>
    <t>Obračun se vrši po komadu izrađenog i montiranog ogledala uključujući sav potreban materijal za montažu.</t>
  </si>
  <si>
    <t>SANITARNA OPREMA ZA OSOBE S INVALIDITETOM</t>
  </si>
  <si>
    <t>Umivaonik za osobe s poteškoćama u kretanju</t>
  </si>
  <si>
    <t>Dobava i ugradnja samostojećeg umivaonika od keramike I klase (pravokutni oblik 50.5x45x15cm) u kompletu sa stojećom senzorskom armaturom (230V) za umivaonik s prethodno podesivim mehaničkim miješanjem TV+HV (inox – bijeli mat), perlatorom s ograničenjem protoka vode, dva gibljiva crijeva R⅜" za priključak vode sa sitima protiv nečistoća i nepovratnim ventilima, te kromirani odvod. Ugradnja umivaonika na zid.
Prilikom ugradnje pridržavati se uputa proizvođača. Obračun po komadu komplet ugrađenog umivaonika.</t>
  </si>
  <si>
    <t>WC školjka za osobe s poteškoćama u kretanju</t>
  </si>
  <si>
    <t>Dobava i ugradnja konzolne WC školjke od keramike I klase sa pripadajućom sporospuštajućom daskom sa poklopcem, montažnog instalacijskog elementa za WC školjku visine ugradnje 112 cm s niskošumnim ugradbenim vodokotlićem za 6/3l ispiranje. Element sadrži oslonce za montažu rukohvata s obje strane. Odgovarajuća tipka za invalide za aktiviranje: 2-količinsko ispiranje.
Prilikom ugradnje pridržavati se uputa proizvođača.
Obračun po komadu komplet ugrađenog WC-a.</t>
  </si>
  <si>
    <t>Rukohvat za ruke uz WC školjku za osobe sa invaliditetom</t>
  </si>
  <si>
    <t>Nabava, doprema i montaža dva držača za ruke duljine 90 cm, inox -  bijeli mat, postavljena na zid u rasponu visine od 80 do 90 cm iznad površine poda, držač za ruke s pristupačne strane WC školjke mora biti preklopni, a drugi može biti fiksno pričvršćen na zid.</t>
  </si>
  <si>
    <t>Obračun se vrši po kompletu montiranih rukohvata za ruke (1xpreklopni i 1xfiksni), uključujući sav potreban materijal za montažu.</t>
  </si>
  <si>
    <t>Nabava, doprema i montaža držača za toaletni papir, inox -  bijeli mat, koji se montira na zid, a postavljaja se uz WC školjku za osobe sa invaliditetom.</t>
  </si>
  <si>
    <t>Nabava, doprema i montaža WC četke, inox -  bijeli mat, koji se postavlja na zid uz WC školjku za osobe sa invaliditetom.</t>
  </si>
  <si>
    <t>Nabava, doprema i montaža zidnog ogledala ugrađeno u nosač s mogućnošću za nagib prema naprijed.</t>
  </si>
  <si>
    <t>Ogledalo se postavlja uz umivaonik za osobe sa invaliditetom, veličine cca 60x100cm.</t>
  </si>
  <si>
    <t>DEMONTAŽE POSTOJEĆE SANITARNE OPREME</t>
  </si>
  <si>
    <t>Demontaža postojećih sanitarija</t>
  </si>
  <si>
    <t>Demontaža postojećih sanitarija iz objekta. U stavku uračunati demontažu uređaja, sanitarija, armatura na umivaonicima, sudoperima i sl., uključujući sav potreban rad. Iste ostaviti investitoru na raspolaganje, ili u dogovoru s istim odvesti na odlagalište. 
Obračun po komadu.</t>
  </si>
  <si>
    <t>WC školjka sa daskom i vodokotlićem</t>
  </si>
  <si>
    <t>pisoar sa pripadajućom opremom</t>
  </si>
  <si>
    <t>umivaonik sa pripadajućom armaturom</t>
  </si>
  <si>
    <t>SANITARNA OPREMA</t>
  </si>
  <si>
    <t>B</t>
  </si>
  <si>
    <t>TROŠKOVNIK VODOVODA I ODVODNJE</t>
  </si>
  <si>
    <t>RADOVI INSTALACIJA VODOVODA I ODVODNJE UKUPNO:</t>
  </si>
  <si>
    <t>TROŠKOVNIK VODOVODA I ODVODNJE UKUPNO</t>
  </si>
  <si>
    <t>OPĆI TEHNIČKI UVJETI - GRAĐEVINSKI I OBRTNIČKI RADOVI</t>
  </si>
  <si>
    <t>Sve stavke troškovnika podrazumijevaju nabavu, isporuku, transport,  montažu i sve horizontalne i vertikalne transporte  potrebnog specificiranog materijala na samoj lokaciji do mjesta ugradnje, izvedbu prema tehničkim propisima i projektnoj dokumentaciji, sa montažom pomoću kvalificirane i stručne radne snage i adekvatne mehanizacije, a u skladu sa važećim propisima i standardima.</t>
  </si>
  <si>
    <t>Skladištenje materijala i opreme treba provesti u svemu sukladno uvjetima iz važećih tehničkih propisa, normi i prema uputama proizvođača, tako da materijal bude osiguran od vlaženja, lomova i sl., jer se samo neoštećen materijal smije ugrađivat. Vezna sredstva također moraju biti neoštećena. Sve materijale koji se ugrađuju treba ispitati prema važećim tehničkim propisima i izjave o svojstvima predočiti nadzornom inženjeru. Sav oštećeni materijal izvođač dužan zamijeniti ispravnim prije ugradnje o vlastitom trošku.</t>
  </si>
  <si>
    <t xml:space="preserve">U jediničnu cijenu uključiti sve troškove otpada materijala, otpad  koji je nastalo zbog oblika i razvedenosti objekta te samog odabira materijala  (npr. kod podopolagačkih radova, keramičarskih radova, kamenarskih radova i sl.). </t>
  </si>
  <si>
    <t>Zabranjena je ugradnja građevnog proizvoda koji:
 	- je isporučen bez oznake u skladu s posebnim propisom,
 	- je isporučen bez tehničke upute za ugradnju i uporabu,
 	- nema svojstva zahtijevana projektom ili mu je istekao rok uporabe, odnosno čiji podaci značajni za ugradnju, uporabu i utjecaj na svojstva i trajnost  nisu sukladni podacima određenim projektom.
 	- je na bilo koji način oštećen ili nezadovoljavajućih karakteristika</t>
  </si>
  <si>
    <t>Svi ugrađeni materijali i proizvodi moraju odgovarati važećim tehničkim propisima i standardima, propisima zaštite na radu i ostalim propisima Republike Hrvatske, a trošak svih dokaza kvalitete mora biti ugrađen u jediničnu cijenu.	Prije ugradnje proizvoda, kako bi dokazao uporabljivost građevnog proizvoda izvođač je dužan dostaviti važeću dokumentaciju prema Zakonu o građevnim proizvodima.</t>
  </si>
  <si>
    <t>Kod preuzimanja građevnog proizvoda izvođač mora utvrditi da isti zadovoljava sve uvjete propisane Tehničkim propisom o građevnim proizvodima. Ukoliko proizvod koji je proizveden izvan ili na gradilištu ne zadovoljava uvjete, nije dozvoljena njegova uporaba ni ugradnja.</t>
  </si>
  <si>
    <t>Sav materijal potreban za izvođenje pojedine vrste radova na jednom objektu mora biti iz iste serije proizvodnje kako se ne bi dogodila odstupanja u dimenzijama, nijansi boje ili ostalim svojstvima.</t>
  </si>
  <si>
    <t>Materijali ni na koji način ne smiju štetno utjecati na podlogu, oblogu ni zdravlje ljudi koji s njima rade.</t>
  </si>
  <si>
    <t>Ukoliko isto nije obračunato u zasebnoj stavci troškovnika, u  jediničnu cijenu   osim gore navedenog treba uključiti i:
 	- troškove osiguranja izjave o svojstvima ugrađenih građevnih proizvoda, ili odgovarajućeg dokumenta dokaza ugradljivosti
 	- troškove ishođenja izjave o svojstvima ugrađene opreme i/ili postrojenja i 
 	- troškove ishođenja dokaza kvalitete za koje postoji obveza prikupljanja tijekom izvođenja građevinskih i drugih radova za sve instalacije i sve izvedene dijelove građevine što uključuje sva potrebna ispitivanja i pisani prikaz rezultata ispitivanja, zapisnike o provedenim postupcima kontrole kvalitete i funkcionalnim probama ugrađenih sustava.
 	- Troškove izrade uzoraka materijala</t>
  </si>
  <si>
    <t>U kalkulaciji rada treba u jedinične cijene uključiti (osim ako nije drugačije propisano i obuhvaćeno posebnom  troškovničkom stavkom):
  - sav rad potreban da se stavka izvede do potpune gotovosti i funkcionalnosti, kako glavni tako i pomoćni rad svih radnika, alata, strojeva i pribora
  - čišćenje prostora svakodnevno u tijeku radova i nakon završetka određene vrste radova kompletno čišćenje 
  - odvoz otpadnog materijala (šute i viška materijala te lomova, ambalaže i sl.) s gradilišta
  - sve naknade za odlaganje otpadnog materijala na deponiju
  - sva pomagala, pribor, alate i mehanizaciju koja se koristi za rad te odvoz, dovoz i skladištenje istih, uključivo i troškove za posuđenu i unajmljenu mehanizaciju
  - sve horizontalne i vertikalne transporte do mjesta ugradnje (uključivo svu potrebnu mehanizaciju za kvalitetan transport)
  - potrebne oplate,  razupore, podupore, mostovi za prebacivanje iskopa većih dubina (osiguranje od urušavanja kod zemljanih radova), radne skele, užadi, ljestve, oznake rovova
  - troškove za bilo kakav otežani rad ( npr. kod iskopa &gt;2,0 m, u mokrom i sl.)
  - postave ograde i mostova za prebacivanje alata, materijala i radnika
  - crpljenje površinske i procjedne vode
  - kompletnu pripremu podloge- zbijanje, pranje, čišćenje, otprašivanje, sitini popravci za osiguranje ravnosti i ugradnja podložnih/razdjelnih slojeva potrebnih za kvalitetno izvođenje radova ( sve prema opisu za pripremu podloge od strane proizvođača ili projektne dokumentacije prije izvedbe određenog rada)
  - sva brtvljenja oko ugrađenih elemenata (do potpune vodonepropusnosti, zrakonepropusnosti,  ispunjavanje požarnih zahtjeva i sl.)
  - kvalitetnu izvedbu svih spojeva ugrađenih materijala
  - troškove rada u radionici i sve  troškove dostave na gradilište
  - izlazak na teren i uzimanje potrebnih izmjera na gradilištu za sve vrste radova
  - sva ocrtavanja/označavanja mjesta za štemanje, rupe, pante, rasvjetu, instalacije, obujmice, revizije te rezanja za manje prodore</t>
  </si>
  <si>
    <t xml:space="preserve"> 	- nanosnu skelu i sva druga sredstva i rad potreban za odmjeravanje i označavanje gabarita objekta, te sva odmjeravanja i označavanja unutar objekta za točno pozicioniranje prilikom izvođenja radova
 	- troškove popravka štete kao posljedica nepažnje u toku izvedbe, eventualna krpanja tijekom radova
 	- troškove zaštite na radu
 	- zidarska pripomoć obrtnicima, instalaterima, nošenje izuzetno teških predmeta, pripomoć kod raznih ugradbi, materijal za ugradbu i troškovi suradnje sa drugim izvođačima
 	- kompletnu zaštitu od korozije i požara prema projektnim zahtjevima
 	- troškovi ispitivanja kvalitete materijala tijekom izvođenja
 	- troškovi izrade radioničke dokumentacije
 	- sav rad oko zaštite i zaštitu gotovih konstrukcija i dijelova objekta od nepovoljnih atmosferskih utjecaja, radova koji slijede nakon toga rada i popravak, tj. naknadu štete učinjene pri radu na svojim ili tuđim radovima
 	izvedba u svemu prema svim važećim projektnima,  nacrtima, dodatnim uputama i danim tehničkim smjernicama
 	suradnja sa ostalim izvođačima radova na gradilištu, posebice prilikom izvođenja složenih ili kontaktnih stavki
 	prijevoz i smještaj djelatnika, dnevnice i ostali troškovi definirani ugovor prema djelatnicima
 	svi troškovi prometne regulacije van gradilišta u smislu organizacije gradilišta i radova ( naknade za zauzeće površine, naknade za opterećenje prometnica, regulacije i sl.), ako drugačije nije definirano stavkama troškovnika</t>
  </si>
  <si>
    <t xml:space="preserve">Ugovorene jedinične cijene pojedinih stavaka vrijede za cijeli objekt bez obzira na katnost, visinu prostorija ili sl. gdje se vrši dotični rad. </t>
  </si>
  <si>
    <t>Ugovorne jedinične cijene primijenit će se na izvedene količine, bez obzira u kojem postotku iste odstupaju od količina u troškovniku.</t>
  </si>
  <si>
    <t xml:space="preserve">Izvođač je potreban izvesti sve potrebne radove za pripremu i održavanje gradilišta te se za to ne naplaćuje posebna naknada. </t>
  </si>
  <si>
    <t>Svi troškovi organizacije gradilišta uključeni su u jediničnim cijenama, ako nije drugačije definirano predviđenim stavkama troškovnika:
 	- Izrada elaborata organizacije gradilišta, plana izvođenja radova i sheme organizacije gradilišta. Shemu organizacije gradilišta je izvođač dužan prije izvođenja radova dostaviti na kontrolu i suglasnost nadzornom inženjeru
 	- Svi troškovi režije gradilišta ( struja, voda, internet, plin i ostalo), troškovi priključaka i razvoda svih privremenih instalacija gradilišta, sav potrošni materijal i oprema izvođača
 	- Izvođač treba detaljno razraditi tehnologiju izvođenja konstrukcije u vidu elaborata. Izvođač treba ishoditi suglasnost projektanta konstrukcije za tehnologiju izvođenja konstrukcije.
 	- Izgradnja, uređenje i održavanje gradilišnih i pristupnih puteva, sa postavom i održavanjem prometne regulacije na gradilištu i na pristupnim prometnicama
 	- Prostor za gradilišni deponij - organizacija, izvedba i održavanje
 	- Svi unutarnji i vanjski transporti (horizontalni i vertikalni) materijala i sva oprema i strojevi potrebni za izvođenje radova te skladištenje istih
 	- Izrada, montaža i održavanje zaštitnih oznaka,  radnih skela, ograda, razupora, zaštita rovova, ljestvi, bina i sl. sukladno Zakonu ZNR, te nakon završteka radova demontaža istih
 	- Nanosna skela, sa označavanjem osi i visinskih kota objekta koje zadaje ovlašteni geodeta. U cijeni je uključeno održavanje osi i visinskih kota tijekom izvođenja radova od ovlaštenog geodete
 	- Gradilišna tabla, Tabla sa znakovima upozorenja i tabla "zabranjen pristup nezaposlenim osobama" i sve ostale table i oznake po ZNR
 	- Otvorena  i zatvorena skladišta raznih materijala ( nadstrešnice, platoi, barake i sl)
 	- Troškovi osiguranje gradilišta( čuvarska služba) i osvjetljenje gradilišta
 	- Kontejneri različitih namjena i dimenzija te WCi za zaposlenike izvođača/podizvođača sa svim potrebnim zahtjevima
 	- Aparati za gašenje požara i sve mjere za zaštitu od požara prema pravilnicima za vrijeme izvođenja radova</t>
  </si>
  <si>
    <t xml:space="preserve">Ukoliko je u ugovoreni termin izvršenja objekta uključen i zimski odnosno ljetni period, to se neće posebno izvođaču priznavati na ime naknade, već sve mora biti uključeno u jediničnu cijenu. Za vrijeme zime građevina se mora zaštititi. Svi eventualno smrznuti dijelovi moraju se ukloniti i izvesti ponovno bez bilo kakve naplate. Ukoliko je temperatura niža od temperature pri kojoj je dozvoljen određeni rad, izvođač je dužan o tome obavijestiti Investitora i nadzornog inženjera. </t>
  </si>
  <si>
    <t>To isto vrijedi i za zaštitu radova tokom ljeta od prebrzog sušenja uslijed visoke temperature. Ukoliko dođe do kašnjenja u dinamici krivnjom izvođača, dodatne troškove pri radu na niskim/ visokim temperaturama snosi izvođač.</t>
  </si>
  <si>
    <t>U kalkulacije izvođač mora prema ponuđenim radovima uračunati  eventualne zaštite za zimski period, kišu ili sl.</t>
  </si>
  <si>
    <t xml:space="preserve">Sve radove treba izvesti prema projektnoj dokumentaciji, detaljnim nacrtima, opisima troškovnika, tehničkim propisima, uputama projektanta i nadzornog inženjera te uvjetima proizvođača. </t>
  </si>
  <si>
    <t>Detaljan opis predmeta nabave te vrsta i opseg radova kao i posebni zahtjevi vezani za izvođenje istih detaljno su utvrđeni ovim troškovnikom, izvedbnim detaljima kao i ostalom projektnom dokumentacijom koja je sastavni dio ove dokumentacije za nadmetanje. 
Radovi će se izvoditi prema izvdbenim detaljima odnosno izvedbenom projektu. U slučaju eventualnog odstupanja između glavnog projekta i izvedbenog projekta (izvedbenih detalja) mjerodavni je izvedbni projekt (izvedbeni detalji). Obračun radova obavljati će se sukladno priloženom troškovniku radova.</t>
  </si>
  <si>
    <t>Ukoliko naručitelj tijekom građenje neki rad ne izvoditi, izvođač nema pravo na odštetu ako ga je naručitelj pravovremeno o tome obavijestio (prije nabavke materijala ili izvedbe).</t>
  </si>
  <si>
    <t>Izvođač je dužan provjeriti sve dimenzije na licu mjesta, sve mjere otvora i sl., a bilo kakva pogreška, propust ili neslaganja između nacrta arhitekture i eventualnih dodatnih nacrta i projektnih detalja ili stanja na licu mjesta moraju se prijaviti voditelju projekta, nadzornom inženjeru i projektantu. Naknadni troškovni nastali iz nesklada izvođaču neće biti priznati. Sve kontrole izvođač je dužan izvesti bez posebne naplate.</t>
  </si>
  <si>
    <t>Prije početka gradnje potrebno je predvidjeti i planirati sve aktivnosti koje su potrebne da se građevina izgradi u skladu sa važećim zakonima i propisima, u ugovorenom roku i uz poštivanje ugovorenih ekonomsko-financijskih uvjeta.</t>
  </si>
  <si>
    <t>Potrebno je proučiti sve tehnologije izvedbe pojedinih radova radi optimalne organizacije građenja, nabavke materijala, kalkulacije i sl. Prije izvedbe potrebno je uzeti točne mjere na licu mjesta.</t>
  </si>
  <si>
    <t>Svi ugrađeni materijali moraju ispunjavati zahtjeve prema uvjetima iz projekta, biti u skladu sa važećom zakonskom regulativom i normama na koje se ona poziva i odgovarati opisu pojedinih stavaka troškovnika i OTU-u ili jednakovrijednih.</t>
  </si>
  <si>
    <t xml:space="preserve">Materijal  se ne smije oštetiti tijekom manipulacije, skladištenja  i transporta od proizvodnje do montaže na gradilištu. Sva nastala oštećenja trebaju se sanirati na zadovoljavajući način prije ugradnje o trošku izvođača. Loše obrađeni, oštećeni ili napukli dijelovi ne smiju se ugrađivati, a ukoliko ih izvođač ugradi, morati će ih zamijeniti na vlastiti trošak. </t>
  </si>
  <si>
    <t>Izvođač jamči za kvalitetu izvedenih radova prema uvjetima iz projektne dokumentacije, propisima i pravilima struke, kao i da će tijekom gradnje poduzeti sve mjere da osigura radove tako da isti nemaju nedostatke koji onemogućuju i umanjuju njihovu vrijednost ili prikladnost za namijenjenu upotrebu.</t>
  </si>
  <si>
    <t>Svi radovi moraju biti izrađeni  u skladu prema svim važećim zakonima, prema projektu i opisu pojedinih stavaka troškovnika i OTU-u ili jednakovrijednih.</t>
  </si>
  <si>
    <t>Sva potrebna ispitivanja materijala moraju obaviti osobe koje su po zakonu ovlaštene za obavljanje tog posla i zadovoljavaju sve uvjete u skladu sa obvezujućom zakonskom regulativom.</t>
  </si>
  <si>
    <t xml:space="preserve">Svaki dan nakon završenog rada treba očistiti sve površine ne kojima se radilo i ukloniti sav otpad izvan zgrade, a sutradan odvesti na gradski deponij. </t>
  </si>
  <si>
    <t>Izvođač je dužan prije primopredaje radova otkloniti sve eventualne nedostatke. Ako to ne učini u za to predviđenom roku investitor može otklanjanje nedostataka povjeriti trećoj strani, a na trošak izvođača.</t>
  </si>
  <si>
    <t>Izvođač je dužan bez posebne naknade sudjelovati na tehničkom pregledu te sastaviti izjavu prema Pravilniku o sadržaju pisane izjave izvođača o izvedenim radovima i uvjetima održavanje građevine (NN 43/13). Također, dužan je bez posebne naknade pribaviti svu potrebnu dokumentaciju za tehnički pregled ( uključivo izjave o svojstvima za sve ugrađene materijale, garancije,  izvješća o provedenim ispitivanjima i svu drugu dokumentaciju traženu u projektima i sukladno važećim zakonima i pravilnicima).</t>
  </si>
  <si>
    <t>Nakon pozitivnog rješenja o provedenom tehničkom pregledu ili u posebnim slučajevima prije odrađenog tehničkog pregleda, izvođač zapisnički predaje građevinu na korištenje investitoru.</t>
  </si>
  <si>
    <t>Ukoliko komisija na tehničkom pregledu ima primjedbe na izvedene radove, izvođač je dužan iste sanirati u za to predviđenom roku i bez posebne naknade ( osim u slučajevima kada je potrebno dodatno izvođenje radova koji nisu predviđeni projektom) kako bi investitor mogao ishoditi uporabnu dozvolu za objekt.</t>
  </si>
  <si>
    <t>GEODETSKI RADOVI</t>
  </si>
  <si>
    <t>Za provođenje geodetskih radova Izvođač mora osigurati osobu ovlaštenu za provedbu istih, a shodno Zakonu o obavljanju geodetske djelatnosti.</t>
  </si>
  <si>
    <t>Održavanje svih geodetskih točaka postavljenih prije ili za vrijeme izvođenja radova u obavezi je Izvođača radova. Za oštećenje ili pomicanje oznaka Izvođač je dužan ponovno pozvati ovlaštenog geodeta i provesti novo mjerenje i označavanje o svom trošku.</t>
  </si>
  <si>
    <t>PRIPREMNI I ZAVRŠNI RADOVI</t>
  </si>
  <si>
    <t>Prije početka izvođenja radova izvođač je dužan osigurati objekt  i prijaviti i inspekciji zaštite na radu te o tome dati investitoru pismeni dokaz.</t>
  </si>
  <si>
    <t>Radove čišćenja terena izvoditi uz primjenu  bez nanošenja štete susjednim objektima, posjedima uz trasu i imovini uopće. Rušenjem stabala ne smiju se oštetiti stabla koja nisu predviđena za rušenje.</t>
  </si>
  <si>
    <t>Potrebno spriječiti bilo kakvu mogućnost zagađenja gradilišta i prometnica predviđenih za transport, što uključuje i pranje svakog kamiona od zemlje prije izlaza na javnu prometnicu te trošak izvedbe i održavanja rampe i privremene odvodnje rampe za pranje kamiona prije izlaska sa gradilišta za vrijeme trajanja zemljanih radova ( ili sve dok postoje uvjeti na gradilištu koji zahtijevanju pranje vozila).</t>
  </si>
  <si>
    <t>Predviđena mehanizacija za izvođenje mora biti u besprijekornom stanju, a ne smiju se primjenjivati pomoćni materijali kojima se može onečistiti okoliš (voda, tlo, flora i fauna).</t>
  </si>
  <si>
    <t>Radove, skladištenja ili ostale radnje na privremeno zauzetim gradskim prometnicama treba izvoditi sukladno Rješenju i Pravilnicima komunalnih službi i sve površine nakon završetka radova dovesti u prvobitno ili poboljšano stanje. Troškove zauzimanja javne površine izvođač je dužan ukalkulirati u jediničnu cijenu ponude te mu se dodatni trošak na račun toga neće priznavati.</t>
  </si>
  <si>
    <t>U jediničnu cijenu stavaka uključeno je:
 	- Svi troškovi pripreme i raspremanja gradilišta
 	- Pomoćni objekti, skladišta, uređenje odlagališta materijala
 	- Horizontalan i vertikalna signalizacija na gradilištu
 	- Gradilišna tabla
 	- Održavanje gradilišta urednim tijekom izvođenja radova
 	- Održavanje mehanizacije u urednom stanju
 	- Priključenje kontejnera na sve potrebne instalacije</t>
  </si>
  <si>
    <t>Svi iskopi i nasipi obračunavaju se prema projektom predviđenim dimenzijama, ukoliko se iskopi ili nasipavanja izvedu većih gabarita od projektom predviđenih, a bez suglasnosti nadzornog inženjera, isti idu na trošak Izvođača.</t>
  </si>
  <si>
    <t>Ukoliko se iskopi izvode na većim dubinama, više od 2 metra, u jedinične cijene stavaka potrebno je uključiti i sav potreban materijal (razupirače i sl.) te otežane uvjete rada.</t>
  </si>
  <si>
    <t>Po završetku radova na iskopima potrebno je izvršiti provjeru tla kako bi se utvrdilo je li kategorija tla u naravi jednaka projektiranoj. Nakon provjere tla od strane nadzornog inženjera može se pristupiti daljnjim radovima. Ukoliko se utvrdi da tlo ne zadovoljava kriterije iz projekta mora se izvršiti dodatna kontrola tla od strane ovlaštenog geomehaničara.</t>
  </si>
  <si>
    <t>Iskopani materijali koji se privremeno odlažu na gradilišnoj deponiji moraju biti odloženi na mjesto gdje neće smetati za daljnji tijek radova, svo premještanje materijala po gradilištu, a radi prvotnog odlaganja na pogrešno mjesto koje koči daljnju dinamiku gradilišta je trošak Izvođača radova.</t>
  </si>
  <si>
    <t>Zatrpavanje svih elemenata konstrukcije ili priprema nasipa za izvođenje daljnjih radova mora se izvoditi u slojevima u visini najviše 30 cm te nabijati. Nabijani materijal mora imati optimalnu vlažnost. Zatrpavanje materijalom ili nabijanje istog potrebno je izvoditi uz povećanu pažnju kako ne bi došlo do oštećenja okolnih već izvedenih konstrukcija ili njihovih slojeva (izolacije/završni slojevi). Ukoliko dođe do oštećenja već izvedenih slojeva konstrukcije, sanacija istih je trošak Izvođača.</t>
  </si>
  <si>
    <t>Kontrola kvalitete za izradu nasipa, tekuća i kontrolna ispitivanja vrše se prema  važećim standardima i uključena su u jediničnu cijenu stavaka.</t>
  </si>
  <si>
    <t>Nadzorni inženjer može zahtijevati provedbu dodatnih kontrolnih ispitivanja.</t>
  </si>
  <si>
    <t>Obračun iskopa, nasipa i odvoza materijala vrši se po m3 tla u sraslom stanju. Rastresitost materijala potrebno je ukalkulirati u jediničnu cijenu stavaka te se dodatno ne priznaje.</t>
  </si>
  <si>
    <t>Za izvedbu konstrukcije koristi se projektirani beton razreda tlačne čvrstoće sukladno projektu konstrukcije. Beton spravljati isključivo strojnim putem.</t>
  </si>
  <si>
    <t>Beton se mora proizvoditi od prethodno ispitanih i tijekom vremena kontroliranih osnovnih materijala, u pogonima za proizvodnju betona, prethodno ispitani i kontrolirani u toku rada.</t>
  </si>
  <si>
    <t>Sastav betona mora biti projektiran računski i provjeren eksperimentalno u skladu sa postojećim tehničkim propisima i važećim standardima. Svojstva osnovnih materijala i ugrađenog betona moraju se dokazati laboratorijskim ispitivanjima koje će obaviti izvođač radova putem organizacije registrirane za tu djelatnosti.</t>
  </si>
  <si>
    <t>Prilikom proizvodnje betona potrebno je koristiti isključivo jednu vrstu cementa osim ako projektom konstrukcije nije drugačije propisano.</t>
  </si>
  <si>
    <t>Za izradu betona predviđa se prirodno granulirani šljunak ili drobljeni agregat. Kameni agregat mora imati propisani granulometrijski sastav, mora biti dovoljno čvrst i postojan, ne smije sadržavati zemljane i organske sastojke, niti druge primjese štetne za beton i armaturu.</t>
  </si>
  <si>
    <t>Tehnička svojstva predgotovljenih betonskih elemenata moraju ispunjavati opće i posebne zahtjeve bitne za krajnju namjenu u građevini i moraju biti specificirana prema odgovarajućoj tehničkoj specifikaciji, projektu konstrukcije odnosno prema nizu važećih normi i normi na koje se iste pozivaju: HRN EN 13369:2018 ili jednakovrijedno -- Opća pravila za predgotovljene betonske elemente.</t>
  </si>
  <si>
    <t>Važeće norme za specifične predgotovljene elemente navedene su u Tehničkom propisu za građevinske konstrukcije, Tehničkom propisu za građevne proizvode te u Tehničkom propisu kojim se utvrđuju specifikacije za građevne proizvode u usklađenom području te se istih treba pridržavati.</t>
  </si>
  <si>
    <t>Predgotovljene armiranobetonske elemente potrebno je dovesti na gradilište neoštećene te ih skladištiti na način da se izbjegnu bilo kakva oštećenja.</t>
  </si>
  <si>
    <t>U jediničnu cijenu predgotovljenih elemenata potrebno je uključiti sav materijal i rad potreban za izradu elementa, oplatu, transport i montažu elementa.</t>
  </si>
  <si>
    <t>Izvođač je dužan izraditi projekt betona bez ikakve posebne naknade, osim ako u troškovniku nije iskazana zasebna stavka.</t>
  </si>
  <si>
    <t>Izvođač treba prema normama HRN EN 13670:2010 Izvedba betonskih konstrukcija ili jednakovrijedno i HRN EN 13670/NA ili jednakovrijedno -- Izvedba betonskih konstrukcija – Smjernice za primjenu norme HRN EN 13670 ili jednakovrijedno prije početka ugradnje provjeriti da li je beton u skladu sa zahtjevima iz projekta betonske konstrukcije te da li je tijekom transporta došlo do promjene njegovih svojstava koja bi bila od utjecaja na tehnička svojstva betonske konstrukcije. Ukoliko je došlo do promjene svojstava isti se ne smije ugraditi u konstrukciju.</t>
  </si>
  <si>
    <t>Kontrolu svježeg betona izvođač treba provoditi pregledom svake otpremnice i vizualnom kontrolom konzistencije kod svake dopreme (svakog vozila) te kod opravdane sumnje detaljnijim ispitivanjima svježeg betona prema nizu normi HRN EN 12350 ili jednakovrijedno o čemu treba voditi evidenciju.</t>
  </si>
  <si>
    <t>Izvođač treba izraditi plan uzimanja uzoraka, za pojedine vrste betona, na osnovi operativnog plana radova u suglasnosti sa nadzornim inženjerom.</t>
  </si>
  <si>
    <t xml:space="preserve">Ispitivanje očvrsnulog betona će se provoditi na uzorcima uzetim tijekom izvođenja radova. Ispitivanje očvrsnulog betona izvodi se prema HRN EN 12390 Ispitivanje očvrsnuloga betona ili jednakovrijedno. </t>
  </si>
  <si>
    <t xml:space="preserve">Uzorci će se uzimati i njegovati u skladu s HRN EN 12390-2:2009 ili jednakovrijedno. </t>
  </si>
  <si>
    <t>Rezultati ispitivanja će se evidentirati redoslijedom kako su uzimani i grupirati u grupe betona koje su definirane u programu uzimanja kontrolnih betonskih uzoraka.</t>
  </si>
  <si>
    <t>Kod izvođenja betonskih radova treba voditi računa o tome kakve su atmosferske prilike, tj. ako je temperatura visoka prije betoniranja politi podlogu, odnosno tlo i eventualno oplatu kako ne bi došlo do upijanja vode iz betona. S ugradnjom betona može se započeti tek kada je oplata i armatura definitivno postavljena i učvršćena te pregledana i odobrena od strane nadzornog inženjera.</t>
  </si>
  <si>
    <t>Ispitivanje očvrsnulog betona u konstrukciji treba izvesti prema:
HRN EN 13791 ili jednakovrijedno -- Ocjena in-situ tlačne čvrstoće u konstrukcijama i predgotovljenim betonskim dijelovima
HRN EN 12504 – Ispitivanje betona u konstrukcijama ili jednakovrijedno
HRN CEN/TR 15177 – Ispitivanje otpornosti betona na smrzavanje i odmrzavanje ili jednakovrijedno</t>
  </si>
  <si>
    <t>Prilikom izvedbe treba se pridržavati uvjeta definiranih Tehničkim propisom za građevinske konstrukcije i normom HRN EN 13670 -- Izvedba betonskih konstrukcija te projekta konstrukcije ili jednakovrijedno.</t>
  </si>
  <si>
    <t>Transport, oplate i ugradnja svježeg betona moraju u svemu odgovarati zahtjevima norme HRN EN 13670 ili jednakovrijedno te su uključeni u jediničnu cijenu.</t>
  </si>
  <si>
    <t>Ugrađivanje betona se može početi samo na osnovu pismene potvrde o preuzimanju podloge, armature i odobrenju betoniranja od strane nadzornog inženjera.</t>
  </si>
  <si>
    <t>Beton se mora ugrađivati prema određenom planu. Svaki započeti betonski odsjek, konstruktivni dio ili element objekta, mora biti izbetoniran u skladu sa programom betoniranja i pravilima struke, bez obzira na uvjete izvođenja radova kao što su na primjer radno vrijeme, brze vremenske promjene, kvarovi pojedinih uređaja mehanizacije, poteškoće u transportu i sl. Isključenje negativnih utjecaja i drugih rizika na kvalitetu betona nužno je predvidjeti programom betoniranja i osigurati alternativna rješenja za slučaj da se oni pojave.</t>
  </si>
  <si>
    <t>Kod betoniranja smiju se prekidi i radni spojevi izvesti prema pravilima struke, osim onih prekida koji su definirani projektom te se u tom slučaju smiju izvesti samo na mjestima koja su projektom određena i na način određen projektom. Na prekidima mora biti ostvarena dobra prionjivost starog i novog betona, a sam spoj mora biti vodonepropustan, što je uključeno u cijenu stavke. Velike površine betonskih ploča moraju se dilatirati sukladno projektu konstrukcije. Prekid pri betoniranju ploča, greda, itd. vršiti po propisima odnosno prema uputama projektanta konstrukcije, a što se upisuje u građevinski dnevnik. Sve dilatacije i izvedba prekida uključeno je u jediničnu cijenu.</t>
  </si>
  <si>
    <t>Da bi se spriječilo, kod vidljivih površina betona, naknadno provlaživanje i kristalizacija zbog procjedne vode, na mjestima prekida betoniranja, potrebno je površine radnih reški prije nastavka betoniranja premazati sredstvom za vezu starog i novog betona držeći se u svemu upute proizvođača, što je uključeno u cijenu stavke.</t>
  </si>
  <si>
    <t>Kod izvedbe vodonepropusnih betona u jediničnu cijenu rada uključene su i sve potrebne radnje za osiguranje vodonepropusnosti betona (brtve na prekidima betoniranja, dodatak za vodonepropusnost te ostali tehnički zahtjevi).</t>
  </si>
  <si>
    <t xml:space="preserve">Obrada gornjih površina treba biti ravno zaribana, osim gdje se u stavci traži drugačija obrada. Sve visine pri izradi oplate određivati, a nakon betoniranja kontrolirati instrumentom. Armirano-betonski elementi moraju imati potpuno ravne i glatke površine i izvode se u pravilu u glatkoj drvenoj ili limenoj oplati. Prilikom betoniranja naročito treba paziti da armatura ostane u položaju predviđenom statičkim proračunom i nacrtom. </t>
  </si>
  <si>
    <t>Nadzorni inženjer zadržava pravo izvanrednog ispitivanja betona, tj. može uzeti seriju kocki i dati ih na ispitivanje.</t>
  </si>
  <si>
    <t>Prilikom izvedbe potrebno je voditi računa o ostvarenju projektiranog zaštitnog sloja betona kako bi se osigurala trajnost betonskih elemenata prema normi HRN EN 1992-1:12013 ili jednakovrijedno, što je uključeno u cijenu stavke.</t>
  </si>
  <si>
    <t xml:space="preserve">Izvođač je dužan izvesti sve otvore i oplate za prodore u AB konstrukcijama sukladno projektnoj dokumentaciji što je uključeno u jedinične cijene rada. </t>
  </si>
  <si>
    <t>Norma HRN EN 13670 ili jednakovrijedno propisuje i tolerancije za izvedbu betonskih elemenata kojih se potrebno pridržavati, ukoliko nije drugačije propisano.</t>
  </si>
  <si>
    <t>Ugrađivanje betona pri vanjskim temperaturama ispod +5 stupnjeva ili iznad +30 stupnjeva smatra se betoniranjem u posebnim uvjetima. U takvim slučajevima potrebno se pridržavati mjera koje su propisane planom kontrole i kvalitete betonske konstrukcije kojeg je izvođač dužan izraditi. Betoniranje u takvih uvjetima mora se odraditi uz prethodnu suglasnost nadzornog inženjera. Svi dodaci betonu nužni za betoniranje u posebnim uvjetima trošak su Izvođača radova te za njih nema pravo na dodatnu naknadu.</t>
  </si>
  <si>
    <t>Beton treba ugraditi i zbiti tako da se sva armatura i uloženi elementi dobro obuhvate betonom i osigura zaštitni sloj betona unutar propisanih tolerancija te beton dobije traženu čvrstoću i trajnost. Posebnu pažnju treba posvetiti ugradnji i zbijanju betona na mjestima promjene presjeka, suženja presjeka, uz otvore, na mjestima zgusnute armature i prekida betoniranja.</t>
  </si>
  <si>
    <t>Vibriranje, osim ako nije drugačije uvjetovano projektom, treba u pravilu izvoditi uronjenim vibratorima. Beton treba uložiti što bliže konačnom položaju u konstrukcijskom elementu. Vibriranjem se beton ne smije namjerno navlačiti kroz oplatu i armaturu.</t>
  </si>
  <si>
    <t>Normalna debljina sloja ne bi smjela biti veća od visine uronjenog vibratora. Vibriranje treba izvoditi sustavnim vertikalnim uranjanjem vibratora tako da se površina donjeg sloja revibrira. Kod debljih slojeva je revibriranje površinskog sloja preporučljivo i radi izbjegavanja plastičnog slijeganja betona ispod gornjih šipki armature.</t>
  </si>
  <si>
    <t>Vibriranje površinskim vibratorima treba izvoditi sustavno dok se iz betona oslobađa zarobljeni zrak. Prekomjerno površinsko vibriranje koje slabi kvalitetu površinskog sloja betona treba izbjeći. Kad se primjenjuje samo površinsko vibriranje, debljina sloja nakon vibriranja obično ne treba prelaziti 100 mm, osim ako nije prethodno eksperimentalno dokazano drugačije. Korisno je dodatno vibriranje površina uz podupore.</t>
  </si>
  <si>
    <t>Brzina ugradnje i zbijanja betona treba biti dovoljno velika da se izbjegnu hladne spojnice i dovoljno niska da se izbjegnu pretjerana slijeganja ili preopterećenje oplate i skela. Hladna spojnica se može stvarati tijekom betoniranja, ako beton ugrađenog sloja veže prije ugradnje i zbijanja narednog. Dodatni zahtjevi na postupak i brzinu ugradnje betona mogu biti potrebni kod posebnih zahtjeva za površinsku obradu.</t>
  </si>
  <si>
    <t>Segregaciju betona treba pri ugradnji i zbijanju svesti na najmanju mjeru.</t>
  </si>
  <si>
    <t>Beton treba tijekom ugradnje i zbijanja zaštiti od insolacije, jakog vjetra, smrzavanja, vode, kiše i snijega.</t>
  </si>
  <si>
    <t>Naknadno dodavanje vode, cementa, površinskih otvrđivača ili sličnih materijala nije dopušteno.</t>
  </si>
  <si>
    <t>Njegovanje ugrađenog betona izvoditi prema HRN EN 13670 ili jednakovrijedno.</t>
  </si>
  <si>
    <t>Zaštita betona mora biti ukalkulirana u jedinične cijene.</t>
  </si>
  <si>
    <t>Za ocjenu postignute kakvoće konstrukcije mjerodavan je osim rezultata prije spomenutih proba i kontrolnih ispitivanja, opći izgled betona, njegova jednoličnost i kompaktnost koja se odražava na vidljivim plohama.</t>
  </si>
  <si>
    <t xml:space="preserve">Tehnologiju izvedbe te eventualno prekida, izvesti isključivo po uputama projektanta konstrukcije. U jediničnim cijenama betonskih i arm. betonskih konstrukcija sadržani su svi pripremni radovi, skele, zaštita betona od niskih i visokih temperatura te ispitivanje uzoraka.  </t>
  </si>
  <si>
    <t>Oplata treba osigurati betonu traženi oblik dok ne očvrsne.</t>
  </si>
  <si>
    <t>Oplata i spojnice između elemenata trebaju biti dovoljno nepropusni da spriječe gubitak finog morta.</t>
  </si>
  <si>
    <t>Oplatu koja apsorbira značajniju količinu vode iz betona ili omogućava evaporaciju treba odgovarajuće vlažiti da se spriječi gubitak vode iz betona, osim ako nije za to posebno i kontrolirano namijenjena.</t>
  </si>
  <si>
    <t>Unutarnja površina oplate mora biti čista. Ako se koristi za vidni beton, njezina obrada mora osigurati takvu površinu betona.</t>
  </si>
  <si>
    <t>U jediničnu cijenu radova potrebno je ukalkulirati svu potrebnu zaštitu i njegu betona.</t>
  </si>
  <si>
    <t xml:space="preserve">Armatura izrađena od čelika za armiranje prema odredbama ugrađuje se u armiranu betonsku konstrukciju prema projektu betonske konstrukcije, normi HRN EN 13670 ili jednakovrijedno, normama na koje ta upućuje. </t>
  </si>
  <si>
    <t xml:space="preserve">Rukovanje, skladištenje i zaštita armature treba biti u skladu sa zahtjevima tehničkih specifikacija koje se odnose na čelik za armiranje, projekta betonske konstrukcije. </t>
  </si>
  <si>
    <t xml:space="preserve">Izvođač mora prema normi HRN EN 13670 ili jednakovrijedno prije početka ugradnje provjeriti je li armatura u skladu sa zahtjevima iz projekta betonske konstrukcije te je li tijekom rukovanja i skladištenja armature došlo do njezinog oštećivanja, deformacije ili druge promjene koja bi bila od utjecaja na tehnička svojstva betonske konstrukcije. </t>
  </si>
  <si>
    <t>Nadzorni inženjer neposredno prije početka betoniranja mora provjeriti postoji li isprava o sukladnosti za čelik za armiranje, odnosno za armaturu i jesu li iskazana svojstva sukladna zahtjevima iz projekta betonske konstrukcije te provjeriti je li armatura izrađena, postavljena i povezana u skladu s projektom betonske konstrukcije te dokumentirati nalaze svih provedenih provjera zapisom u građevinski dnevnik.</t>
  </si>
  <si>
    <t>Čelik za armiranje betona treba zadovoljavati uvjete HRN EN 10080 ili jednakovrijedno i uvjete projekta konstrukcije. Svaki proizvod treba biti jasno označen i prepoznatljiv.</t>
  </si>
  <si>
    <t>Sidreni i spojni elementi trebaju zadovoljavati uvjete EN 1992-1-1 ili jednakovrijedno, priznatih propisa navedenih u TPBK i uvjete projekta.</t>
  </si>
  <si>
    <t>Površina armature mora biti očišćena od slobodne hrđe i tvari koje mogu štetno djelovati na čelik, beton ili vezu između njih.</t>
  </si>
  <si>
    <t>Galvanizirana armatura može se koristiti samo u betonu s cementom koji nema štetnog djelovanja na vezu s galvaniziranom armaturom.</t>
  </si>
  <si>
    <t>Za sve čelike izvoditelj treba pribaviti ateste koji nisu stariji od 6 mjeseci. Nadzorni inženjer treba upisom u dnevnik potvrditi da li su isporučeni čelici odgovarajuće kakvoće i dozvoliti ugradnju u armiranobetonsku konstrukciju. Za čelike koji su dopremljeni na gradilište ili centralno savijalište bez odgovarajućih atesta ili certifikata ne smiju se ugrađivati dok se ne provede naknadno atestiranje.</t>
  </si>
  <si>
    <t>Čelik za armiranje betona treba rezati i savijati prema projektnim specifikacijama. Pri tome:
 	- savijanje treba izvoditi jednolikom brzinom,
 	- savijanje čelika pri temperaturi ispod -5 °C, ako je dopušteno projektnim specifikacijama, treba izvoditi uz poduzimanje odgovarajućih posebnih mjera osiguranja,
 	- savijanje armature grijanjem smije se izvoditi samo uz posebno odobrenje u projektnim specifikacijama.</t>
  </si>
  <si>
    <t>Promjer trna za savijanje šipki treba biti prilagođen stvarnom tipu armature.</t>
  </si>
  <si>
    <t>Prilikom izvedbe zidarsko-fasaderskih radova i za korištenje materijala opisanih u troškovniku izvođač radova mora se pridržavati  uvjeta i opisa iz projektne dokumentacije kao i važećih propisa.
 	- Zidanje</t>
  </si>
  <si>
    <t>Građevni proizvod proizveden u proizvodnom pogonu (tvornici) izvan gradilišta smije se ugraditi u zidanu konstrukciju ako ispunjava zahtjeve propisane važećim propisima i ako je za njega izdana isprava o sukladnosti u skladu s važećim  propisima.</t>
  </si>
  <si>
    <t>Mort, beton, armatura, zidni elementi od prirodnog kamena i predgotovljeno ziđe izrađeni na gradilištu za potrebe toga gradilišta, smiju se ugraditi u zidanu konstrukciju ako je za njih dokazana uporabljivost u skladu s projektom zidane konstrukcije i važećim propisima.</t>
  </si>
  <si>
    <t>Zidanje izvesti u svemu prema Tehničkom propisu za građevinske konstrukcije te normama na koji se isti poziva.</t>
  </si>
  <si>
    <t>Pri zidanju ostaviti sve otvore za kanale, instalacije i slično, sukladno izvedbenom projektu.  Sav naknadi rad na korekciji pogrešaka zbog neizvedenih ili neusklađeno izvedenih otvora snosi izvođač.</t>
  </si>
  <si>
    <t xml:space="preserve">Kod pregradnih zidova iznad vrata izvesti nadvoje. </t>
  </si>
  <si>
    <t>Svježe zidove treba zaštititi od utjecaja visoke i niske temperature i atmosferskih nepogoda.
 	- Žbukanje</t>
  </si>
  <si>
    <t>Pijesak za žbukanje mora biti čist od organskih primjesa, oštar i prosijan, a vapno hidratizirano.</t>
  </si>
  <si>
    <t>Žbukanje zidova, stropova te stupova vršiti u pogodno vrijeme, kad su isti potpuno suhi. Po velikoj zimi i vrućini treba izbjegavati žbukanje, jer tada može doći do smrzavanja odnosno pucanja uslijed prebrzog sušenja.</t>
  </si>
  <si>
    <t>Prije žbukanja treba plohe dobro očistiti, a naročito spojnice koje moraju biti udubljene cca 2 cm od plohe zida. Prije početka žbukanja plohe dobro navlažiti, a naročito kad se žbuka sa cementnim mortom. Betonske i armirano betonske  dijelove prije žbukanja treba poprskati sa rijetkim cementnim mortom. Isto vrijedi za fasadne plohe koje se žbukaju.</t>
  </si>
  <si>
    <t>Finu žbuku izraditi tako, da površina bude posve ravna i glatka, a uglove i bridove te spojeve zida i stropa izvesti oštro, ukoliko u troškovniku nije drugačije označeno. Na svim bridovima koji se žbukaju produžnom žbukom ugrađuju se kutni štitnici od aluminija, na vanjskoj žbuci od nehrđajućeg čelika, koji su uključeni u jediničnu cijenu.</t>
  </si>
  <si>
    <t>Staklene mrežice koje se rabe u graditeljstvu moraju zadovoljavati uvjete propisane Tehničkim propisom o građevnim proizvodima ( prilog II.)</t>
  </si>
  <si>
    <t xml:space="preserve">Strojno žbukanje gips-vapnenom žbukom:
- Kod strojnog žbukanja prskanjem nanosi se samo jedan sloj žbuke ukupne debljine cca 1,5 cm. Da bi se postigla ravna površina ožbukanih zidova potrebno je prethodno na zid pričvrstiti vodilice i kutnike za bridove od pocinčanog lima, koji ujedno služe za formiranje ravnih i pravilnih bridova. Vodilice i kutni profili uključeni su u jediničnu cijenu žbukanja zidova.  </t>
  </si>
  <si>
    <t>Nepropisno ožbukani zidovi i stropovi moraju se ispraviti bez prava naplate.</t>
  </si>
  <si>
    <t>Betonske plohe moraju prije žbukanja biti obrađene tako da se žbuka dobro prihvati na betonsku površinu.</t>
  </si>
  <si>
    <t>*     Plivajući podovi</t>
  </si>
  <si>
    <t>Debljinu i nagibe estriha i betonskih podloga izvesti prema projektu te obavezno provjeriti i uskladiti izvedbu sa zahtjevima za podne obloge koje dolaze na podlogu. Zaglađivanje treba biti  izvedeno kao podloga za završnu podnu oblogu ili hidroizolaciju.</t>
  </si>
  <si>
    <t>Sve podloge moraju biti čiste, čvrste, suhe, nesmrznute, nosive i zadovoljavajuće čvrstoće. Plohe veće od 25 m2 dilatirati na plohe sa stranicama omjera maksimalno 2:1, ako nije drugačije propisano  i uskladiti sa dilatacijama završnih slojeva poda sukladno uputama iz projekta. Dilatacije u hodnicima izvoditi svakih 10m1. Dilatacije u bet.podlozi i estrihu izvoditi u skladu sa dilatacijama na završnim podnim slojevima! Uz zidove, položiti rubne trake širine cca 1 cm. Sve podloge dobro navlažiti vodom ili impregnirati.</t>
  </si>
  <si>
    <t>Betonska podloga</t>
  </si>
  <si>
    <t>Betonska podloga izvodi se od sitnozrnog betona (najkrupnije zrno agregata za cementni estrih 8 mm), razreda tlačne čvrstoće prema projektnoj dokumentaciji, ili mrežom prema opisu stavke.</t>
  </si>
  <si>
    <t>Alternativno se umjesto mreže mogu koristiti i ojačanja sa polipropilenskim vlakancima prema preporukama proizvođača.</t>
  </si>
  <si>
    <t>Strojno pripremljen beton razastire se do polovine projektirane visine sloja, potom se postavlja armatura i nastavlja sa razastiranjem betona do pune visine sloja. Beton se vibrira i zaglađuje strojno, "helikopterskom" gladilicom, ili ručno ("fratunom")  ako je isto traženo opisom stavke. Površina mora biti ravna. Ukoliko neravnine budu veće popravak izravnanja ide na teret izvođača.</t>
  </si>
  <si>
    <t>Na sudarima estriha sa zidovima, stupovima, dovratnicima i ostalim  vertikalnim elementima konstrukcije te  oko  elemenata instalacija koji prodiru kroz pod, potrebno je izvesti  dilatacijsku fugu. Fuga  se izvodi umetkom od ekspandiranog polistirena ("stiropor"), širine 1cm i visine do kote gotova poda i uključena je u jediničnu cijenu stavke.  Estrih  se  u  normalnim uvjetima suši 3-4  tjedna,  dok  mu vlažnost  ne padne ispod 3%,  a čvrstoća naraste preko 70% . Potom se mogu  izvoditi  daljnji radovi.</t>
  </si>
  <si>
    <t>Neposredno nakon ugradnje obrađenu površinu zaštititi od brzog sušenja i propuha. Nekoliko sati nakon ugradnje površina se njeguje (lagano vlaženje, prekrivanje folijom ili premazivanje sredstvima za zaštitu svježeg betona). Završne podne obloge polagati na osušeni cementni estrih nakon minimalno 28 dana ili prema uputama proizvođača podopolagačkih radova. Prije polaganja podnih obloga kontrolirati zaostalu građevinsku vlagu. Prilikom izvođenja radova pridržavati se važećih građevinskih normi.</t>
  </si>
  <si>
    <t>Za estrih iznad podnog grijanja predvidjeti dodatke u sastavu i radne razdjelnice u području pragova.</t>
  </si>
  <si>
    <t>*     Fasada</t>
  </si>
  <si>
    <t>Kod izrade bilo kojeg sustava fasade potrebno je koristiti  sistemske komponente i sistemska rješenja prema uputama proizvođača. Izvođač je dužan u jediničnu cijenu uključiti sve potrebne profile za izvođenje radova na fasadi (okapni i kutni profil, završetak podnožja fasade i sl.)</t>
  </si>
  <si>
    <t>Sve komponente moraju ispunjavati projektne zahtjeve u vidu koeficijenta toplinske provodljivosti.</t>
  </si>
  <si>
    <t xml:space="preserve"> Naknadno izravnavanje izvedenog fasadnog sustava nije dozvoljeno.</t>
  </si>
  <si>
    <t>Prije početka radova na izvedbi fasade klupčice, metalne dijelove, drvo i staklo izvođač je dužan zaštititi PE folijom, što je uključeno u jediničnu cijenu.</t>
  </si>
  <si>
    <t>Postava izolacije na zid izvodi se lijepljenjem polimerno-cementnim ljepilom točkasto i po rubovima ploče ili mehaničkim učvršćenjem.</t>
  </si>
  <si>
    <t xml:space="preserve">Sve podloge  na koje se postavlja fasadna žbuka moraju biti glatke, čiste, čvrste, nosive, suhe, nesmrznute, bez ostataka oplatnih ulja. Žbuku je potrebno nanositi ravnomjerno na podlogu metalnim gleterom u debljini najkrupnijeg zrna i odmah zaribati plastičnim gleterom kružno do ujednačene teksture. </t>
  </si>
  <si>
    <t>Fasadna žbuka se ne smije  nanositi na osunčanoj plohi, za vjetrovita i maglovita vremena. Prilikom primjene i sušenja temperatura podloge i zraka ne smije biti niža od +5°C ni viša od +30°C.</t>
  </si>
  <si>
    <t>Fasadna skela mora biti u svemu izvedena, osigurana i označena u skladu sa važećim propisima, statičkim proračunom i projektom skele.</t>
  </si>
  <si>
    <t>Izvođač je dužan dostaviti statički proračun i dokumentaciju za postavljenu fasadnu skelu.</t>
  </si>
  <si>
    <t>U jediničnu  cijenu treba uračunati i:
-	vodilice i kutni profili od aluminija na unutarnjoj žbuci, a na vanjskoj žbuci kutnici od nehrđajućeg čelika
-	mrežice za armiranje
-	armatura betonskih podloga i estriha
-	rubne trake kod estriha
-	sistemski profili kod fasaderskih radova (okapni, kutni, završeci i dr.)
-	svu zidarsku pripomoć obrtnicima, instalaterima, nošenje  teških predmeta, pripomoć kod raznih ugradbi</t>
  </si>
  <si>
    <t>Prilikom izvedbe tesarskih radova opisanih  u troškovniku izvođač radova mora se pridržavati  uvjeta i opisa iz projektne dokumentacije kao i važećih propisa.</t>
  </si>
  <si>
    <t xml:space="preserve">Kod izrade bilo kojeg sustava izolacije potrebno je koristiti  sistemske komponente i sistemska rješenja prema uputama proizvođača. Kod izrade izolacije treba se u potpunosti pridržavati uputa proizvođača materijala, kako u pogledu pripreme podloge, svih faza rada, zaštite izvedene izolacije, te uvjeta rada (atmosferskih prilika, temperatura i sl.). </t>
  </si>
  <si>
    <t>Kod pripreme podloge potrebno je površinu zida ili poda dobro očistiti od svih nečistoća, prašine, krhotina i masnoća, a eventualne veće neravnine kod betonskih površina zapuniti mortom za izravnanje, a u svemu prema uputama proizvođača što može uključivati i mehaničku pripremu površine (pjeskarenje ili sačmarenje radi uklanjanja cementnog mlijeka i postizanje otvorene teksture površine).</t>
  </si>
  <si>
    <t xml:space="preserve">Prije zatvaranja, nadzorni inženjer treba pregledati hidroizolaciju te ukoliko se ustanove oštećenja ona se moraju sanirati na zadovoljavajući način na trošak izvođača. </t>
  </si>
  <si>
    <t>Prilikom izvedbe hidroizolacije posebnu pažnju je potrebno posvetiti izvedbi izolacije oko raznih prodora kako bi se osigurala potpuna vodonepropusnost konstrukcije. Izvedba izolacije oko prodora se na naplaćuje zasebno već je uključena u jediničnoj cijeni stavke.</t>
  </si>
  <si>
    <t>Hidroizolacije koje se postavljaju na prostore gdje dolaze u kontakt sa pitkom vodom moraju posjedovati odobrenje nadležne institucije za takvu primjenu.</t>
  </si>
  <si>
    <t xml:space="preserve">Odabrani sustav hidroizolacije mora u svemu ispunjavati projektne i tehničke zahtjeve (prionjivost, vlačna i savojna čvrstoća, protukliznost, UV stabilnost, i sl.) </t>
  </si>
  <si>
    <t xml:space="preserve">Ukoliko se naknadno ustanovi nesolidna izvedba, tj. pojave se prodori vode, izvođač mora izvesti sanaciju hidroizolacije na svoj trošak. </t>
  </si>
  <si>
    <t>Ako izvođač tijekom sanacije hidroizolacije na bilo koji način ošteti ili mora oštetiti ostale dijelove građevine, izvođač snosi sve troškove i te sanacije.</t>
  </si>
  <si>
    <t>Potrebno je primjenjivati materijale predviđene projektom i elaboratom uštede energije i toplinske zaštite te dostaviti ateste proizvođača, kako za izolacioni materijal, tako i za sidra kojima se učvršćuje na konstrukciju.</t>
  </si>
  <si>
    <t>Toplinskom izolacijom moraju se ostvariti projektirana energetska svojstva objekta. Svi materijali moraju zadovoljiti projektne zahtjeve u vidu koeficijenta toplinske provodljivosti (W/mK).</t>
  </si>
  <si>
    <t>Svi izolacijski materijali  trebaju zadovoljiti klasu protupožarnosti prema projektnim zahtjevima te ispunjavati sve zahtjeve propisane projektom fizike zgrade.</t>
  </si>
  <si>
    <t>Kada se mekana mineralna vuna ugrađuje u bilo koju vrstu krovne konstrukcije (drvene ili metalne), potrebno je prilikom rezanja vune na odgovarajuću širinu, odrezati za 1 do 2 cm veću širinu vune od čistog razmaka u koji se vuna ugrađuje.  Za vertikalne elemente upotreba toplinske izolacije u pločama.</t>
  </si>
  <si>
    <t>*     Hidroizolacija ljepenkama i bitumenskim trakama</t>
  </si>
  <si>
    <t>Ukoliko nije drugačije propisano od proizvođača, ugrađuje se zavarivanjem plinskim plamenicima (goračima) , punoplošno ili samo po preklopima 10 cm i uz preklope 20 cm po grundiranoj površini. Prema zahtjevu ugradnja može biti s ili bez mehaničkog učvršćenja.</t>
  </si>
  <si>
    <t>Svi preklopi traka ljepenke moraju biti min 10 cm i premazani vrućom bitumenskom masom. Ukoliko se u stavci troškovnika traži druga širina preklopa, ima se po tome postupiti. Spajanje vršiti zagrijavanjem pomoću plamenika. Ovisno o detalju pri polaganju izolacije uz zidove istu treba uzdići vertikalno do 30 cm što se ne plaća posebno, već je to dio jedinične cijene izolacije.</t>
  </si>
  <si>
    <t>Kod polaganja bitumenskih masa za izolaciju iste treba zagrijati do propisane temperature, prema uputama proizvođača te mora biti otporna na tu temperaturu ukoliko se u samoj stavci troškovnika, obzirom na klimatske prilike, ne traži veća temperatura otpornosti ili se primjenjuje druga izolacija sa drugim svojstvima. Prije polaganja hidroizolacije provjeriti stanje podloge.</t>
  </si>
  <si>
    <t>Prije izvedbe bitumenske hidroizolacije potrebno je izvesti hladni bitumenski prednamaz, što je uključeno u jediničnu cijenu kao i priprema podloge.</t>
  </si>
  <si>
    <t>*     Hidroizolacija od sintetičke membrane na bazi PVC-a i TPO-a</t>
  </si>
  <si>
    <t>Eventualne fuge u podlozi moraju biti zapunjene kitom, odnosno mortom za reprofiliranje i u istoj ravnini s podlogom.</t>
  </si>
  <si>
    <t>Hidroizolaciju je u svemu potrebno izvesti prema uputama proizvođača.</t>
  </si>
  <si>
    <t>U jediničnu cijenu treba uključiti svu zaštitu izvedene hidroizolacije do konačne primopredaje radova nadzornom inženjeru i početka radova na završnim podnim oblogama i to  tvrdim kartonima, slojem EPSa ili slično  kako bi se izbjegla oštećenja hidroizolacije.</t>
  </si>
  <si>
    <t>Zabranjeno je hodanje i izvođenje radova na nezaštićenom sloju hidroizolacije.</t>
  </si>
  <si>
    <t>U jediničnu  cijenu treba uračunati i sve probe/testiranja vodonepropusnosti hidroizolacije na licu mjesta koja se rade po nalogu nadzornog inženjera. Takvo ispitivanje ne amnestira izvođača od odgovornosti za nedostatke u garantnom periodu.</t>
  </si>
  <si>
    <t>KROVIŠTE</t>
  </si>
  <si>
    <t>Prilikom izvedbe tesarskih radova opisanih  u troškovniku izvođač radova mora se pridržavati  uvjeta i opisa iz projektne dokumentacije.</t>
  </si>
  <si>
    <t>Za drvene konstrukcije i priključke drvenih konstrukcija (vijci, vijci za drvo, čavli, trnovi, skobe, moždanici i utisnute ježaste ploče) rabe se materijali i građevni proizvodi koji su navedeni u hrvatskim normama HRN EN 1995-1-1 ili jednakovrijedno i HRN EN 1995-2 ili jednakovrijedno (cjelovito drvo i materijali na osnovi drva), a čija su svojstva u skladu s odgovarajućim tehničkim specifikacijama na koje upućuju ove hrvatske norme ili jednakovrijedne.</t>
  </si>
  <si>
    <t>Radove na drvenom krovištu treba izvesti stručno i točno prema opisu, nacrtima, statičkom proračunu i u skladu sa odredbama Pravilnika o građevinskim konstrukcijama.</t>
  </si>
  <si>
    <t>Prije početka radova izvođač je dužan bez posebne naplate kontrolirati na gradnji sve mjere potrebne za izvedbu i usporediti ih s nacrtima. Ukoliko je došlo do većih razlika koje bi mogle utjecati na izvedbu mora o tom obavijestiti projektanta i nadzornog inženjera te zatražiti rješenje.</t>
  </si>
  <si>
    <t>Loše, nepropisno drvo kao i loše rezana građa ne smiju se upotrijebiti.</t>
  </si>
  <si>
    <t>Drvene elemente je potrebno zaštititi sredstvom protiv bioloških nametnika, a sve vidljive dijelove obojati dekorativnom bojom definbiranom u opisu stavaka. Premaz dekorativnom bojom se izvodi u dva sloja osim ako troškovničkom stavkom nije opisano drugačije.</t>
  </si>
  <si>
    <t>Tehnička svojstva zaštite drvene konstrukcije moraju biti takva da, ovisno o razredu izloženosti drvene konstrukcije, osiguraju ravnotežni sadržaj vlage tijekom vijeka trajanja građevine s time da je sadržaj vlage uvijek takav da osigura zaštitu protiv gljiva kao uzročnika truleži i omogućuje stabilnost dimenzija, bez time prouzročenih trajnih deformacija.</t>
  </si>
  <si>
    <t>Rupe, utori i zarezi za spajala moraju biti izvedeni s takvom preciznošću da se osiguraju projektom predviđena svojstva spoja. Ugradba spajala provodi se u takvom privremenom položaju elemenata konstrukcije kojim se osigurava projektirano nadvišenje.</t>
  </si>
  <si>
    <t>Sadržaj vode drvenih proizvoda se utvrđuje neposredno prije izvođenja elemenata drvene konstrukcije u skladu sa hrvatskim normama HRN EN 13183-1 ili jednakovrijedno i HRN EN 13183-2 ili jednakovrijedno.</t>
  </si>
  <si>
    <t>Tehnička svojstva drvene konstrukcije moraju biti takva da se u slučaju požara očuva nosivost konstrukcije ili njezinog dijela tijekom vremena prema zahtjevima projekta.</t>
  </si>
  <si>
    <t>Sva oštećenja nastala vezivanjem skela na krovnu konstrukciju ili prozorske otvore izvođač radova dužan je otkloniti o svom trošku.</t>
  </si>
  <si>
    <t>ZAVRŠNO – MONTAŽERSKI RADOVI</t>
  </si>
  <si>
    <t>Prilikom izvedbe završno montažerskih radova te za korištenje i ispitivanje materijala opisanih u troškovniku izvođač radova mora se pridržavati  uvjeta i opisa iz projektne dokumentacije.</t>
  </si>
  <si>
    <t>Kod izvedbe zidova, obloga i spuštenih stropova od gipskartonskih ploča potrebno se u svemu pridržavati projektnih zahtjeva, shema polaganja i svih uputa proizvođača (način pričvršćenja potkonstrukcije za osnovni nosivi sklop, međusobnih razmaka nosivih i montažnih profila, načina polaganja i učvršćivanja ploča i svih ostalih elemenata koji su važni za postizanje projektnom tražene vrijednosti), uskladištenja  ploča i uvjeta temperature i vlažnosti zraka prostora u kojima će se izvoditi radovi (temperatura se smije kretati od 11 do 35º i relativna vlažnost zraka do 70 %). Ploče treba zaštiti od kondenzirane vlage. Ploče trebaju prije izvedbe biti na mjestu ugradnje najmanje 24 sata, da bi se prilagodile mikroklimatskim uvjetima prostora. Ploče je potrebno skladištiti na ravnoj podlozi, prema mogućnostima na drvenim paletama ili gredicama koji su međusobno udaljeni  cca 35 cm.</t>
  </si>
  <si>
    <t>Ugradnja GK ploča u slučaju relativne vlage zraka koja traje duže vrijeme i koja je viša od 75-85 % u objektu nije dozvoljena. Nakon montaže je potrebno gipsano- kartonske sustave zaštititi od djelovanja dugotrajne vlage. U objektu se treba i nakon završetka montažnih radova pobrinuti za dovoljno prozračivanje. Radovi obrade spojeva se smiju izvoditi tek nakon što se više ne mogu očekivati promjene dužina GK ploča, koje bi mogle biti posljedica promjena vlage ili temperature. Prilikom obrade spojeva ili obrade površine temperatura prostora ne smije biti niža od 10 ºC.</t>
  </si>
  <si>
    <t>Montirane zidne ili stropne ploče treba po montaži očistiti od eventualnih nečistoća suhim postupkom. Eventualna manja oštećenja može se otkloniti kitanjem, a kod većih je potrebno zamijeniti ploču.</t>
  </si>
  <si>
    <t>S polaganjem se može započeti tek nakon što su završeni svi radovi žbukanja, izrade estriha i sl. te su dovoljno suhi, nakon ugradnje prozora i montaže svih instalacija. Zimi se za montažu mora grijati prostor, a ljeti treba osigurati prozračivanje.</t>
  </si>
  <si>
    <t>Za učvršćenje tereta za GK konstrukciju treba primijeniti specijalna pričvrsna sredstva te se pridržavati uputa o maksimalnom opterećenju. Također je potrebno pripremiti ojačanja u GK zidovima na odgovarajućim pozicijama na koje se montira oprema. U slučaju da nije na nacrtima označena pozicija ojačanja, izvođač je dužan zatražiti prije zatvaranja zidova pozicije ojačanja od projektanta i potvrdu nadzornog inženjera za zatvaranje zidova.</t>
  </si>
  <si>
    <t>Prilikom izvedbe svih završno montažerskih  radova izvođač je dužan primijeniti sve komponente istog  proizvođača odabranog sistema.</t>
  </si>
  <si>
    <t>Za mokre prostore obavezno koristiti impregnirane gipskartonske ploče.</t>
  </si>
  <si>
    <t>Za osiguranje zadovoljavajućeg stupnja protupožarnosti i zvučne zaštite potrebno je koristiti sve sistemske komponente prema rješenjima proizvođača te sve ugraditi prema uputama proizvođača te zapuniti sve spojeve između ploča.</t>
  </si>
  <si>
    <t>Ako nije drugačije navedeno visina ovješenja do 50 cm ukalkulirana je u jediničnoj cijeni.</t>
  </si>
  <si>
    <t xml:space="preserve">Obrada spojeva i površina:
K1 - tehnički neophodna kvaliteta
Taj stupanj zadovoljavajući  je za površine bez posebnih optičkih zahtjeva ( npr. ispod pločica, žbuke ili druge vrste završnih obloga)
K2 - standardna kvaliteta površine
Predstavlja uobičajenu vrstu obrade površine koja je pogodna za završne premaze i tapete. Ostvaruje se osnovnom obradom spojeva ploča i naknadnim dodatnim zaglađivanjem područja spoja kako bi se izradio kvalitetan  prijelaz prema ravnini ploče. Kvaliteta K2 je uračunata u jediničnu cijenu svih suhomontažnih radova.
K3- visoka kvaliteta površine
Vrlo kvalitetno obrađena površina koja premašuje standardne zahtjeve i čija je izvedba navedena u troškovniku. Stupanj kvalitete K3 obuhvaća sve opisano u stupnju kvalitete K2 i dodatno tankoslojno zaglađivanje cijele površine u debljini 2 mm.
K4- najviša kvaliteta površine
Stupnjem K4 izrađuje se izuzetno glatka i ravna površina koja zadovoljava najstrože zahtjeve. Primjenjuju se u prostorima u kojima prevladavaju kritični uvjeti rasvjete ili za površine na koje se nanose metalizirani ili slični premazi. Stupanj kvalitete K4 obuhvaća obradu spojeva i površine K2 i dodatno višestruko tankoslojno zaglađivanje cijele površine u debljini od cca 3 mm s odgovarajućim materijalom za zaglađivanje. </t>
  </si>
  <si>
    <t>Montažni zidovi i zidne obloge sastoje se od čelične ili aluminijske potkonstrukcije (jednostruke ili dvostruke) te obloge od GK ploča (jednostruke, dvostruke ili trostruke). Potkonstrukcija se pričvršćuje za okolne građevinske elemente, a u zidnom međuprostoru mogu se provoditi instalacije. Po potrebi i sukladno projektnom rješenju, u zidnu šupljinu se postavlja toplinska izolacija.</t>
  </si>
  <si>
    <t>Potkonstrukcija iz pocinčanih čeličnih profila sa otvorima za vodovodne ili električne instalacije mora biti čvrsto postavljena. Svi učvrsni elementi kao što su vijci i čavli pocinčani su ili fosforizirani. Lim za profile debljine je od min. 0,6 mm.</t>
  </si>
  <si>
    <t>Ojačanja oko vrata u montažnim zidovima potrebno je izvesti sa UA profilima i UA utičnim kutnicima u slučaju:
-	Konstruktivna visina zida &gt; 2,80 m
-	Širina vrata &gt; 0,885 m
-	Težina vratnog krila &gt;25 kg</t>
  </si>
  <si>
    <t>Sve priključne površine na zidovima, na stropu ili podu izvode se s brtvenom trakom ili brtvenim kitom (na profile).</t>
  </si>
  <si>
    <t>Izolacijski sloj se postavlja po čitavoj površini i osigurava se od micanja. Toplinska izolacija mora zadovoljiti sve projektom propisane uvjete  (debljina, gustoća, toplinska provodljivost i sl).</t>
  </si>
  <si>
    <t xml:space="preserve">Nakon montaže samih ploča, spojeve zapuniti primjerenim materijalom sukladno zahtjevima proizvođača i zagladiti lopaticom. Rezani rubovi ploča obrađuju se papirnatom, bandažnom trakom. </t>
  </si>
  <si>
    <t>Glave vijaka treba pregletati. Kod dvostrukih obloga spojevi donjih ploča se samo zapunjavaju, a spojevi vanjskog sloja se završno obrađuju gletanjem. Nakon obrade spojeva treba čitavu površinu završno pregletati smjesom za izravnanje što ulazi u cijenu stavke.</t>
  </si>
  <si>
    <t>Ako nije drugačije navedeno, površine se izrađuju do stanja koje je pogodno za bojanje ili tapeciranje, bez temeljnog premaza. Radovi za prilagodbu na instalacijske i ugradbene dijelove, koji su ugrađeni prije oblaganja, posebno se ne obračunavaju.</t>
  </si>
  <si>
    <t>Kod višeslojnih obloga zida potrebno je zapuniti spojeve ploča svih slojeva obloge kako bi se osigurala zvučna zaštita.</t>
  </si>
  <si>
    <t>Kod spojeva protupožarnih zidova s okolnim građevnim dijelovima (strop, pod i zidovi) potrebno je osigurati otpornost na požar nosivih i potpornih dijelova iste razine kao i pregradni zid.</t>
  </si>
  <si>
    <t>Spušteni stropovi od gipskartonskih ploča sastoje se od metalne podkonstrukcije, nosivih i montažnih profila i gipskartonskih ploča.</t>
  </si>
  <si>
    <t>Spušteni stropovi se učvršćuju neposredno direktnim ovjesom, pomoću ovjesa sa žicom ili krutim Nonius ovjesom za nosivi strop. GK ploče se učvršćuju posebnim vijcima za čeličnu potkonstrukciju koja se sastoji od nosivih i montažnih profila (u jednoj ili dvije razine). Ploče se postavljaju okomito na smjer montažnih profila.</t>
  </si>
  <si>
    <t>Nosiva i montažna potkonstrukcija  montiraju se po rasteru određenom od proizvođača spuštenog stropa.</t>
  </si>
  <si>
    <t>Spoj sa zidom izvodi se UD profilima. Učvršćenje izvesti pogodnim sredstvima ovisno o materijalu zida.</t>
  </si>
  <si>
    <t>Kod višeslojnih obloga pojedine ploče treba postaviti uz međusobni pomak te svaki sloj ploča pritisnuti za potkonstrukciju i zasebno pričvrstiti vijcima.</t>
  </si>
  <si>
    <t>Spojevi ploča, s bandažiranjem ili bez bandažiranja, se moraju zapuniti specijalnim punilom prema preporuci proizvođača. Kod dvostrukog oblaganja stropa potrebno je obraditi i spojeve prvog sloja ploča.</t>
  </si>
  <si>
    <t>Cijelu površinu treba završno pregletati specijalnom glet masom.</t>
  </si>
  <si>
    <t>Strop mora biti potpuno ravan i ne smiju se vidjeti spojevi ploča. Spoj sa zidom ili s vertikalnim plohama stropa mora biti zapunjen masom za reške.</t>
  </si>
  <si>
    <t>Dilatacije objekta prenijeti na konstrukciju spuštenog stropa. Kod duljina većih od 10 m ili kod naglih smanjenja presjeka stropnih površina potrebno je izraditi dilatacijski spoj.</t>
  </si>
  <si>
    <t>Kod zahtjeva vatrozaštite obvezno upotrijebiti protupožarne ploče i obratiti pozornost na razmak ovjesa i profila u potkonstrukciji.</t>
  </si>
  <si>
    <t>Jedinična cijena sadrži i:
- gletanje i bandažiranje spojeva te kompletna priprema podloge za završnu obradu ( bojanje, tapete, obloge i sl.)
- sve sistemske komponente do potpune gotovosti i funkcionalnosti
- sve spojeve profila sa trakom za brtvljenje sa zidom, stropom i podom
- ugradnju revizijskih otvora i ojačanja u gipskartonskim elementima
- sva rezanja i obrade otvora za ugradnju elemenata instalacija (usklađenje sa ostalim izvođačima)
- čelične profile od 2 mm (UA profile) za ojačanje oko vrata i u ostalim slučajevima 
- izolacijski sloj prema opisu stavke
- izradu shema polaganja i svih drugih potrebnih detalja za izvedbu stropova</t>
  </si>
  <si>
    <t>PODOPOLAGAČKI RADOVI, KERAMIČARSKI RADOVI, PVC OBLOGE</t>
  </si>
  <si>
    <t>Izvođač radova dužan je prije početka radova pripremiti podlogu, kontrolirati vlažnost podloge, horizontalnost i ispravnost izvedene podloge za postavu svih podnih obloga i iste.  Također je potrebno provjeriti uvjete u prostoriji kao i sve ostale uvjete koje traži izvođač pojedinih radova.</t>
  </si>
  <si>
    <t>Podloga mora postići dovoljnu nosivost, biti stabilna, čvrsta, suha,  bez labavih dijelova, prašine, ulja, masnoća, tragova guma i drugih supstanci koje djeluju razdvajajuće. Labaviji slojevi i nakupine suspenzije moraju se ukloniti.</t>
  </si>
  <si>
    <t>Ukoliko je podloga neispravna, u smislu bilo kojeg zahtjeva,  mora se izvesti nova, odnosno u dogovoru sa nadzornim inženjerom sanirati, što ide na teret izvođača građevinskih radova. Ukoliko se pod položi na neispravnu podlogu te dođe do bilo kakvog oštećenja sanaciju podloge i poda snosi izvođač podopolagačkih radova.</t>
  </si>
  <si>
    <t>Ako nije u troškovniku drugačije naznačeno, prijelaz iz prostorije u prostoriju istog nivoa učiniti kontinuirano bez prekida i praga.</t>
  </si>
  <si>
    <t>Na spoju različitih podnih obloga ugraditi razdjelni profil prema projektnom detalju.</t>
  </si>
  <si>
    <t>Kad se podne obloge polažu na grijane podne površine, grijanje treba raditi 10 dana prije početka polaganja. Prije početka polaganja grijanje treba isključiti; zimi grijanje treba smanjiti na pola snage (temperatura poda 20°C). 72 sata nakon dovršetka polaganja podnih obloga, grijanje se može pustiti u rad punom snagom.</t>
  </si>
  <si>
    <t>*     Epoksi pod</t>
  </si>
  <si>
    <t>Površinska vlačna čvrstoća podloge u prosjeku mora iznositi 1,5 N/mm2, a tlačna čvrstoća najmanje 25 N/mm2, ukoliko projektom nije određeno drugačije.</t>
  </si>
  <si>
    <t>Podlogu pripremiti kroz odgovarajuće mjere kao npr. kroz sačmarenje ili brušenje dijamantnom brusilicom, tako da se ispunjavaju navedeni zahtjevi proizvođača. Raspucala mjesta i šupljine u podlozi se popunjavaju i ojačavaju (“šivaju“) kako ne bi došlo do pucanja.</t>
  </si>
  <si>
    <t>SOBOSLIKARSKO – LIČILAČKI RADOVI</t>
  </si>
  <si>
    <t>Ukoliko na zidovima i ostalim površinama koje se bojaju ima nekih značajnih pogrešaka iste je potrebno odstraniti prije prije bojenja.</t>
  </si>
  <si>
    <t>Podloga mora biti suha, čvrsta i čista (bez masnih mrlja i druge prljavštine, bez slabo vezanih dijelova, praha te drugih nečistoća) nosiva, suha, nesmrznuta te prije prvog bojanja impregnirana impregnacijom. Prije dodavanja vode boju treba dobro promiješati. Po prekidu rada ambalažu s bojom dobro zatvoriti, a nakon ličenja pribor oprati vodom.</t>
  </si>
  <si>
    <t>Kod napada gljivica potrebno je izvršiti specijalno temeljito čišćenje te naknadnu obradu odgovarajućim sredstvom. Odstraniti postojeće slojeve boja ili obloga, nepričvršćene i trusne dijelove te ne nosive slojeve i očistiti površinu strojno ili odgovarajućim sredstvima.</t>
  </si>
  <si>
    <t>Prilikom primjene i sušenja temperatura podloge i zraka ne smije biti niža od +5°C ni viša od +30°C.</t>
  </si>
  <si>
    <t>Starost podložnih žbuka najmanje 3-4 tjedna. Starost masa za izravnavanje najmanje 14 dana. Gips-kartonske, nove i nejednoliko upojne podloge obavezno impregnirati.</t>
  </si>
  <si>
    <t>Osnovni premazi moraju se tako odabrati da su podesni za slijedeće premaze koji se predviđaju.</t>
  </si>
  <si>
    <t>Probni premazi moraju se po želji investitora izvesti za sve vrste premaza.</t>
  </si>
  <si>
    <t>Zidove i stropove treba bojati, kad su potpuno suhi, a prije bojanja treba zakrpati sve eventualne rupe, pukotine ili krhotine, a podlogu pripremiti prema tehnologiji proizvođača boja i lakova.</t>
  </si>
  <si>
    <t>Pull-off čvrstoća prianjanja treba biti u skladu sa zahtjevima proizvođača.</t>
  </si>
  <si>
    <t>Ličenje u svemu izvesti prema uputama proizvođača boje što obično uključuje pripremu podloge, impregnaciju, međusloj i završni sloj bojom u propisanom broju nanosa.</t>
  </si>
  <si>
    <t>Pojedinu zidnu plohu ličiti bez prekida od jednog do drugog krajnjeg ruba u istom smjeru. Za standardno dugodlaki ličilački valjak ili pištolj za špricanje nedostupne površine (kutovi, uglovi, žljebovi, uske špalete i sl.) koristiti primjeren kist ili manji ličilački valjak te ih uvijek obraditi prve kako bi se izbjegle kasnije mrlje na obojanoj površini.</t>
  </si>
  <si>
    <t>Bilo kakvo „popravljanje“ boje usred bojanja (dodavanje sredstva za nijansiranje, rijeđenje, i sl.) nije dozvoljeno. Količine boje, koja je potrebna za bojanje pojedinih ploha, izračunati ili ocijeniti iz površine tih ploha i podataka o prosječnoj potrošnji.</t>
  </si>
  <si>
    <t>Materijal za bojanje svih prostora objekta u istom RAL-u mora biti iz iste serije miješanja boje kako ne bi došlo do razlike tonova uslijed različitih receptura.</t>
  </si>
  <si>
    <t>Spojevi sa drugim elementima ili spojevi dviju različitih boja boraju biti izvedeni vrlo uredno. Bojom izrađena crta mora biti jednake širine po cijeloj dužini, osim ako projektom nije određeno drugačije. Svi završeci obojenih površina moraju biti ravni i pravilni.</t>
  </si>
  <si>
    <t>Izvođač je obavezan koristiti  limove u debljinama prema projektu, a ukoliko isto nije naznačeno, debljinu treba potvrditi  projektant.</t>
  </si>
  <si>
    <t>Izvođač radova dužan je prije izvedbe limarije uzeti sve izmjere u naravi, a također je dužan prije početka montaže ispitati sve dijelove gdje se imaju izvesti limarski radovi te na eventualne neispravnosti istih upozoriti nadzornog inženjera, jer će se u protivnom naknadni popravci izvršiti na račun izvođača.</t>
  </si>
  <si>
    <t>Mekani limovi spajaju se utorenjem ili lemljenjem, a srednje tvrdi limovi utorenjem ili zakivanjem i lemljenjem.</t>
  </si>
  <si>
    <t>Pričvršćenje lima vrši se mehaničkim alatima, vijcima, plastičnim čepovima i drugim nosačima (čeličnim pocinčanim nosačima).</t>
  </si>
  <si>
    <t>Limarija mora biti odvojena od površine betona i žbuke bitumenskom ljepenkom ili polietilenskom folijom, što je uključeno u jediničnu cijenu, ako nije drugačije označeno troškovnikom.</t>
  </si>
  <si>
    <t>Sav spojni materijal (čavli, zakovice) mora biti iz istog materijala kao i lim.</t>
  </si>
  <si>
    <t>Željezni dijelovi koji dolaze u neposredan dodir sa površinom od cinčanog bakra ili cinčanog lima, moraju biti cinčani.</t>
  </si>
  <si>
    <t>Svi dijelovi limenih elemenata kod kojih postoji zahtjev vodonepropusnosti moraju biti zabrtvljeni i pričvršćeni na propisan način.</t>
  </si>
  <si>
    <t>Sastav i učvršćenja moraju biti tako izvedeni da elementi pri temperaturnim promjenama mogu nesmetano dilatirati, a da pri tom ostanu nepropusni.</t>
  </si>
  <si>
    <t>Za sva rezanja na gradilištu, treba upotrebljavati alate koje propisuje proizvođač, odnosno dodatno antikorozivno zaštiti elemente na mjestu eventualnog oštećenja.</t>
  </si>
  <si>
    <t>Sve spojeve izvoditi standardnim preklopima ili po zahtjevu lemiti.</t>
  </si>
  <si>
    <t xml:space="preserve">BRAVARSKI RADOVI </t>
  </si>
  <si>
    <t>Izvođač je dužan uzeti na gradilištu sve mjere otvora u koje se treba ugraditi bravarija te nakon toga pristupiti izradi iste. Također, prije početka izrade obavezno se moraju uskladiti mjere i količine na objektu s onima u projektima, sve bez posebne naplate.</t>
  </si>
  <si>
    <t>Svi detalji potrebni za radionički nacrt dogovaraju se s glavnim projektantom i stručnim nadzorom. Radionički nacrt izrađuje izvođač, a ugradnja slijedi nakon što glavni projektant odobri radioničke nacrte.</t>
  </si>
  <si>
    <t>Na zahtjev projektanta ili odgovorne osobe izvođač je dužan testirati određene detalje sa prototipovima, a prije same izvedbe.</t>
  </si>
  <si>
    <t>Izvođač radova dužan je dobaviti i montirati te u cijenu ukalkulirati sav potreban okov za besprijekornu upotrebu pojedinog bravarskog elementa bez obzira da li je u pojedinim stavkama sve iskazano.</t>
  </si>
  <si>
    <t>Stavke moraju ispunjavati sve zahtjeve protupožarnosti sukladno projektu zaštite od požara.</t>
  </si>
  <si>
    <t>Ostakljenu konstrukciju fasade potrebno je izvoditi iz sistemskih komponenti te  u već provjerenim i certificiranim sustavima.</t>
  </si>
  <si>
    <t>Nacrti trebaju sadržavati tipične detalje svih elemenata okvira, spoja, pričvršćenja i ostakljenja te sve potrebne proračune. Prikazati pričvršćenje na nosivu konstrukciju građevine i spoj sa drugim strukama i dijelovima građevine. Prikazati lokaciju svih komponenti i njihove spojeve. Prikazati izolacije među nesrodnim materijalima.</t>
  </si>
  <si>
    <t>Izvođač je nakon ugradnje dužan korisniku ustupiti upute za rukovanje i održavanje u pisanom obliku.</t>
  </si>
  <si>
    <t>Sva bravarija mora prije otpreme na gradilište biti pjeskarena i ličena prvim temeljnim slojem 2x ili pocinčana, ako nije drugačije propisano.</t>
  </si>
  <si>
    <t>Sva vanjska bravarija mora biti brtvena protiv prodora kiše i prašine.</t>
  </si>
  <si>
    <t>Aluminijski profili  plastificirani u tehnici za morsko područje moraju biti  u skladu sa svim zahtjevima. Svi vijci u kvaliteti A4 ili jednakovrijedno; čelična podkonstrukcija i ostali čelični dijelovi  pocinčani i završno bojani dvokomponentnim bojama prema opisu troškovničke stavke.</t>
  </si>
  <si>
    <t>Izvođač je obavezan prije početka proizvodnje, dostaviti radioničke nacrte i detalje  (koji uključuju sve potrebne sastavne dijelove stavki – okov, ostakljenje, profile) na ovjeru projektantu i/ili nadzornom inženjeru.</t>
  </si>
  <si>
    <t>Svi definitivno izrađeni izvedbeni nacrti i detalji, predočeni uzorci okova odnosno predočeni prospekti tipiziranih elemenata moraju biti potpisani od strane projektanta i/ili nadzornog inženjera.</t>
  </si>
  <si>
    <t>Građevinska bravarija izvodi se od standardnih čeličnih vučenih cijevi i L profila kao i ČN profila formiranih prema tvorničkim detaljima, te ČN limova d = 0,7- 4 mm, ako drugačije nije definirano projektom.</t>
  </si>
  <si>
    <t>Građevinska bravarija izvodi se i od aluminijskih vučenih profila formiranih prema tvorničkim detaljima koji omogućuju izradu elemenata sa ili bez prekinutog toplinskog mosta, kao i al. limova d = 0,7- 3 mm, ako nije drugačije propisano. Spojni dijelovi spajaju se varenjem, ako drugačije nije definirano projektom.</t>
  </si>
  <si>
    <t>Kod spajanja vijcima svaki sastav mora biti tako konstruktivno riješen da na vanjskim površinama nema vidljivih vijaka. Kod prozorskih i sl. profila specijalni umeci od tvrdog PVC materijala moraju osigurati spoj dvaju profila.</t>
  </si>
  <si>
    <t>Vanjska bravarija izvodi se sa prekinutim toplinskim mostom, a unutarnja bez prekinutog toplinskog mosta.</t>
  </si>
  <si>
    <t>Svi tehnički i fizikalni zahtjevi trebaju biti ispunjeni prema propisima i projektnoj dokumentaciji. Konstrukcija mora biti dimenzionirana tako da sigurno prihvaća opterećenja  funkcije elemenata.</t>
  </si>
  <si>
    <t>Sve nosive dijelove statički provjeriti.</t>
  </si>
  <si>
    <t>Sav okov treba biti  sa detaljima bravarije predočen nadzornom inženjeru i projektantu na odobrenje. Bez pismenog suglasja projektanta nije moguće započeti s proizvodnjom. Vratna krila šira od 100 cm ili viša od 200 cm ovješena su na tri petlje.</t>
  </si>
  <si>
    <t>Okov na protupožarnim vratima mora biti vatrootporan.</t>
  </si>
  <si>
    <t>Svi bravarski elementi ugrađuju se varenjem na prethodno ostavljena sidra odnosno pomoću vijaka ili  posredstvom plastičnih ili metalnih čepova, što će u pojedinom detalju biti određeno.</t>
  </si>
  <si>
    <t>Sve reške između metala i zida moraju biti brtvljene ili kitane silikonskim kitom.</t>
  </si>
  <si>
    <t>Kod suhog postupka bravarija se ugrađuje na slijepi okvir koji je kod aluminijske, mesing, inox bravarije u načelu od pocinčanih ČN profila, ako nije drugačije definirano i ulazi u cijenu stavke.</t>
  </si>
  <si>
    <t>Ugradnja vratnih, kliznih i prozorskih sistema:</t>
  </si>
  <si>
    <t>Okviri se fiksiraju u betonsku konstrukciju direktno preko sidrenih vijaka kroz profile štoka. Svi otvori moraju imati plastični profil u donjoj zoni tzv. bazni profil. Podizno klizna stijena ispod plastičnog profila mora imati čelično ojačanje.</t>
  </si>
  <si>
    <t>Spojevi između aluminijske i betonske konstrukcije moraju biti izvedeni na način da se zadovolji toplinska i hidroizolacija samog spoja, odnosno da se  spriječi direktan ulaz vode ili pojava kondezata sa unutarnje strane fasade. Svi spojevi sa vanjske strane moraju biti oblijepljeni vodonepropusnom-paropropusnom folijom koja priječi ulaz vode ali isto tako omogućava kondezatu da ispari prema vani. Dok se sa unutarnje strane pomoću folije ili silikona mora omogućiti paronepropusnost.</t>
  </si>
  <si>
    <t>Ugradnja fasadnih stijena, ako nije drugačije propisano:</t>
  </si>
  <si>
    <t>Fasadne stavke, sidre se čeličnim cinčanim sidrima.Čelična sidra moraju biti antikorozivno zaštićena. Konstrukcija metalnih sidara osigurava bešumno dilatiranje čelične fasade uz zadovoljavanje statičkih uvjeta.</t>
  </si>
  <si>
    <t>Spojevi između ostakljene fasadne konstrukcije i ostalih konstrukcija moraju biti izvedeni na način da se zadovolji toplinska i hidroizolacija samog spoja, odnosno da se  spriječi direktan ulaz vode ili pojava kondezata sa unutarnje strane fasade. Svi spojevi sa vanjske strane moraju biti obljepljeni vodonepropusnom-paropropusnom folijom, koja priječi ulaz vode ali isto tako omogućava kondezatu da ispari prema vani. Dok se sa unutarnje strane pomoću folije, opšava ili silikona mora omogućiti paronepropusnost.</t>
  </si>
  <si>
    <t>Preklapanje svih izolacijskih folija (najmanje 100 mm) izvesti na objektu uz mehaničko učvršćenje i potrebnu toplinsku izolaciju. Izvođač radova obavezan je ispravno izabrati sve izolacijske materijale na unutarnjoj i vanjskoj strani fasade i to biti u stanju dokazati.</t>
  </si>
  <si>
    <t>Zaštitu čelične konstrukcije od korozije potrebno je izvesti u svemu prema projektu, a sukladno HRN EN ISO 12944 ili jednakovrijedno.</t>
  </si>
  <si>
    <t>U jediničnu cijenu stavaka uključiti:
 	- sve potrebne podkonstrukcije
 	- dvokratni osnovni premaz prema uvjetima antikorozivne zaštite u radionici, popravak antikorozivne zaštite iza montaže te kompletnu zaštitu sa završnom obradom ličenjem, plastificiranjem ili eloksiranjem ako je to u stavci određeno, 
 	- izrada i predočenje uzoraka na odobrenje projektantu
 	- svi potrebni opšavi za spojeve sa okolnim konstrukcijama i brtve
 	- slijepe okvire potrebne za montažu elemenata
 	- ostakljenje ili druge ispune prema shemama, uključivo rezervna stakla
 	- sav potreban okov do potpune funkcionalnosti prema zahtjevima projekta, uključivo i  protupožaran okov gdje je to projektom predviđeno
 	- zaštitu dijelova fasade i ostalih elemenata pri transportu i ugradnji
 	- suradnja sa ostalim izvođačima, posebice kod kontaktnih stavki, uključivo i suradnja sa električarima i izvedba rupa za kabele bez naknadnog bušenja
 	- sve brave, ručke, kvake i izradu ključeva
 	- svu potrebnu izolaciju opisanu u okviru bravarske stavke
 	- izradu izvedbene dokumentacije ( detalji sa statičkim provjerena i označenim karakteristikama i debljinama materijala)
 	- izradu uzorka u traženoj veličini, te probno montiranje na objekt</t>
  </si>
  <si>
    <t>Izvođač je dužan provjeriti sve dimenzije na licu mjesta, bilo kakva pogreška, propust ili neslaganja između nacrta arhitekture i eventualnih dodatnih nacrta i projektnih detalja moraju se prijaviti voditelju projekta, nadzornom inženjeru i projektantu.</t>
  </si>
  <si>
    <t>Prije početka izvedbe stolarskih elemenata sve potrebne radioničke nacrte izrađuje izvođač stolarskih radova te ih s predloženim okovom dostavlja na usuglašavanje projektantu-investitoru.  Svi detalji potrebni za radionički nacrt dogovaraju se s glavnim projektantom, a ugradnja slijedi nakon što projektant odobri radioničke nacrte, a izvođač točno provjeri sve dimenzije na licu mjesta.</t>
  </si>
  <si>
    <t>Svi pripremni radionički nacrti izvođača moraju se predati projektantu na odobrenje prije izrade stavke. Za svaki element je potrebno izraditi uzorak u detaljnom mjerilu, kojega odobrava projektant prije narudžbe materijala.</t>
  </si>
  <si>
    <t>Sve kutove i otvorene spojeve u gipsu ili mortu mora se zaštititi kutnicima te se mora osigurati njihovo savršeno poravnanje.</t>
  </si>
  <si>
    <t>Jedinična cijena sadrži i:
	- kompletnu zaštitu sa završnom obradom ličenjem ili prema opisu stavke
	- slijepe okvire potrebne za montažu elemenata
	- ostakljenje ili druge ispune prema shemama
	- sav potreban okov do potpune funkcionalnosti prema zahtjevima projekta
	- sve brave, ručke, kvake i izradu ključeva
	- svu potrebnu izolaciju opisanu u okviru  stavke</t>
  </si>
  <si>
    <t>Obračun radova za stolarske radove vršit će se prema opisu troškovničke stavke.</t>
  </si>
  <si>
    <t>Sve spojeve sa stolarijom, opremom, podovima, stropovima i sl. obraditi akrilom, a što je uključeno u jediničnu cijenu stavaka.</t>
  </si>
  <si>
    <t xml:space="preserve">Obračun:
Otvori do 3 m2 ne oduzimaju se od površine i obrada špaleta se ne obračunava zasebno.
Za otvore veće od 3m2, oduzima se razlika veća od 3 m2, a obrada špaleta se ne obračunava zasebno. </t>
  </si>
  <si>
    <t>NAPOMENA: 
SVE PLOČE OBRAĐENE KVALITETOM K2, što je uključeno u jediničnu cijenu stavki</t>
  </si>
  <si>
    <t>Prije izvedbe završnih obloga kao i stolarskih i bravarskih stavaka Izvođač je dužan dostaviti uzorke na potvrdu Projektantu i Konzervatorskom nadzoru, a što je uklučeno u jediničnu cijenu stavaka.</t>
  </si>
  <si>
    <t>Izvedba  fasadnog sustava sa završnom bojom - atike vanjskih strojarnica na krovovima</t>
  </si>
  <si>
    <t xml:space="preserve">Dobava i ugradnja svih potrebnih materijala za izvedbu  fasadnog sustava  sa završnom obradom fasadnom bojom </t>
  </si>
  <si>
    <t xml:space="preserve">Kompletno armiranje zidova nanošenjem armirnog sloja od svijetlog, mineralnog morta za lijepljenje i armiranje na bazi bijelog cementa, hidratiziranog vapna i visokokvalitetnog, frakcioniranog, drobljenog pješčanog vapnenca, isključivo iz atestiranog sustava proizvođača fasade. U mort se u svježem stanju utiskuje tekstilno-staklena, alkalno otporna mrežica 160 g/m2, veličine otvora 4×4 mm s preklopom od minimalno 10 cm. Pozicija mrežice u polovini do gornje trećine debljine sloja. Debljina armirnog sloja min 3 mm. Obavezno dodatno ojačanje kuteva otvora dijagonalno postavljenim mrežicama dimenzija 20×40 cm ili 30×50 cm, sve iz sustava proizvođača fasade.                                                             
</t>
  </si>
  <si>
    <t>Obračun po m2 ugrađenih svih slojeva.</t>
  </si>
  <si>
    <t>Oznaka sloja: ZT1, ZT2, ZG8, ZS1, ZS1a, ZV1</t>
  </si>
  <si>
    <t>Oznaka sloja: ZT1, ZT2,  ZG8</t>
  </si>
  <si>
    <t>Dobava i doprema materijala te opločenje podova protukliznim keramičkim pločicama debljine 1 cm. U cijenu stavke uključena i dostava uzorka na odobrenje projektatu i nadzornom inženjeru.</t>
  </si>
  <si>
    <t xml:space="preserve">Dobava materijala i završna obrada spuštenih i AB stropova disperzivnom bojom za unutarnje radove i sve potrebne prethodne radnje i pripreme podloge. Radna skela uključena u cijenu. </t>
  </si>
  <si>
    <t xml:space="preserve">Dobava materijala i završna obrada podgleda stubišta i podesta disperzivnom bojom za unutarnje radove i sve potrebne prethodne radnje i pripreme podloge. Radna skela uključena u cijenu. </t>
  </si>
  <si>
    <t>U zidanim zidovima potrebno je izvesti otvore prema projektu, što je uključeno u cijenu stavke. Iznad otvora izveti montažene nadvoje.</t>
  </si>
  <si>
    <t>Obračun po m3 zida i m1 nadvoja.</t>
  </si>
  <si>
    <t>b) nadvoj</t>
  </si>
  <si>
    <t xml:space="preserve">Dobava materijala i zidanje zidova od šuplje blok opeke od gline, debljine prema projektu, u produžnom mortu M-10, prema uputama  i tehnologiji proizvođača. Horizontalne i vertikalne sljubnice u punoj širini zapunjavati mortom. </t>
  </si>
  <si>
    <t>Zidani zid</t>
  </si>
  <si>
    <t>a) zid d= 12 cm</t>
  </si>
  <si>
    <t>c) zid d= 30 cm</t>
  </si>
  <si>
    <t>Izvedba suhog estriha poda potkrovlja</t>
  </si>
  <si>
    <t>Projektanti arhitektonskog projekta:</t>
  </si>
  <si>
    <t>Mladen Cvitanović, dipl.ing.arh.</t>
  </si>
  <si>
    <t>Helena Cvitanović, dipl.ing.arh.</t>
  </si>
  <si>
    <t>Projektant građevinskog projekta konstrukcije:</t>
  </si>
  <si>
    <t>Martina Vujasinović, mag.ing.aedif.</t>
  </si>
  <si>
    <t>Projektant građevinskog projekta vodovoda i odvodnje:</t>
  </si>
  <si>
    <t xml:space="preserve">Vedran Subotić, mag.ing.aedif.	</t>
  </si>
  <si>
    <t>Projektant strojarskog projekta instalacija plina, grijanja, hlađenja i ventilacije:</t>
  </si>
  <si>
    <t>Aleš Dežman, mag.ing.mech.</t>
  </si>
  <si>
    <t>Projektant strojarskog projekta stabilnih sustava za gašenje požara:</t>
  </si>
  <si>
    <t>Branimir Cindori, dipl.ing.stroj.</t>
  </si>
  <si>
    <t>Projektant strojarskog projekta vertikalnog transporta:</t>
  </si>
  <si>
    <t>Rok Pietri, mag.ing.nav.arch.</t>
  </si>
  <si>
    <t>Projektant elektrotehničkog projekta instalacija jake i slabe struje i zaštite od udara munje; vatrodojave:</t>
  </si>
  <si>
    <t>Projektant arhitektonskog projekta krajobraznog uređenja:</t>
  </si>
  <si>
    <t>prof.art. Stanko Stergaršek, dipl.ing.arh.</t>
  </si>
  <si>
    <t>A.3.</t>
  </si>
  <si>
    <t xml:space="preserve">KONZERVATORSKO RESTAURATORSKI RADOVI  </t>
  </si>
  <si>
    <t>KONZERVATORSKO RESTAURATORSKI RADOVI UKUPNO:</t>
  </si>
  <si>
    <t>Platno ne propušta svjetlost na način da se postiže zasjenjenje, a ne potpuno zamračenje. Upravljanje sjenilom na elektro motor.</t>
  </si>
  <si>
    <t>ELEKTROTEHNIČKE INSTALACIJE</t>
  </si>
  <si>
    <t>Jedinica mjere</t>
  </si>
  <si>
    <t>Jedinična cijena</t>
  </si>
  <si>
    <t>Ukupna 
cijena</t>
  </si>
  <si>
    <t>Napomena:</t>
  </si>
  <si>
    <t>U sve stavke uračunati dobava, montaža i spajanje, s odvozom otpada i čišćenjem gradilišta.</t>
  </si>
  <si>
    <t xml:space="preserve">Za svaku stavku opreme potrebno je predvidjeti dobavu, montažu,  spajanje i funkcionalno ispitivanje. Svjetiljke se postavljaju na spušteni strop, pričvršćuju na strop, zid ili konstrukciju zgrade na način koji je uvjetovan izgradnjom svjetiljke ili upotrebom određenog montažnog pribora. U cijenu je potrebno uračunati potreban montažni materijal, te ostali potreban pribor i odgovarajuće ateste. </t>
  </si>
  <si>
    <t xml:space="preserve">Kriteriji za jednakovrijednost su: 
tehničke karakteristike ponuđene svjetiljke moraju biti jednake ili bolje od onih predviđenih proizvodom. Estetske karakteristike  moraju odgovarati predviđenom proizvodu uz odstupanja po dimenzijama do +/- 5 %. </t>
  </si>
  <si>
    <t>Kriteriji za jednakovrijednost dokazuju se prilikom davanje ponude, dostavom tehničke dokumentacije.</t>
  </si>
  <si>
    <t xml:space="preserve">Uz kriterije jednakovrijednosti izvođač je dužan dostaviti ili poslati fotometrijske proračune u elektroničkoj verziji izrađene u programima </t>
  </si>
  <si>
    <t>Prije narudžbe obavezno usuglasiti točan tip, boju i konačnu dispoziciju rasvjetnih tijela s nadzornim inženjerom, koji je dužan konzultirati glavnog projektanta  i projektanta el. instalacija te predstavnika GZZSKP (provjera tipa spuštenog stropa i dispozicije svjetiljaka)</t>
  </si>
  <si>
    <t>PRIPREMNI RADOVI</t>
  </si>
  <si>
    <t>Demontaža postojeće električne instalcije jake i slabe struje i vatrodojave na objektu, uključivo:</t>
  </si>
  <si>
    <t>glavni razvodni ormar i katni razdjelnici</t>
  </si>
  <si>
    <t>rasvjetna tijela opće i protupanične rasvjete</t>
  </si>
  <si>
    <t>Instalacijska oprema, sklopke, priključnice, tipkala</t>
  </si>
  <si>
    <t>Oprema sustava vatrodojave osjetnici, sirene, ručna tipkala i drugo</t>
  </si>
  <si>
    <t>Oprema tehničke zaštite, kamere, osjetnici</t>
  </si>
  <si>
    <t>f)</t>
  </si>
  <si>
    <t>Kabelske instalacija položena nadžbukno i podžbuknu uključivo kabele i proturne cijevi</t>
  </si>
  <si>
    <t>g)</t>
  </si>
  <si>
    <t>Demontaža postojećeg sustava za zaštitu od štetnog utjecaja udara munje</t>
  </si>
  <si>
    <t>h)</t>
  </si>
  <si>
    <t>Demontaža postojeće video kamere na pročelju objekta komplet sa nosačem, kom 4,0</t>
  </si>
  <si>
    <t>Odvoz opreme na uređenu deponiju otpada sa dostavom potvrde o odlaganju</t>
  </si>
  <si>
    <t xml:space="preserve">RASVJETNA TIJELA I ELEMENTI UPRAVLJANJA </t>
  </si>
  <si>
    <t>*</t>
  </si>
  <si>
    <t>opća unutarnja rasvjeta</t>
  </si>
  <si>
    <t>Dobava i montaža rasvjetnog tijela:
- tračna svjetiljka za ugradnju u strujni šinski trofazni sustav
- kućište izrađeno od aluminija i polikarbonata
- kućište u crnoj boji
- optička leća od polimera
- dimenzije svjetiljke s tračnim držačem max. š144 x v177mm
- dimenzije tijela svjetiljke max. fi100x v89mm 
- horizontalna rotacija svjetiljke na tračnom držaču za 360°
- vertikalna rotacija svjetiljke na tračnom držaču za 270°
- masa svjetiljke min. 0,68kg
- direktna zoom simetrična distribucija svjetlosti širine snopa 16°-68°
- izvor svjetlosti je integrirani LED snage max. 19,6W
- ukupna snaga sistema max. 22,3W  
- boja svjetlosti temperature 3000K
- svjetlosni tok svjetiljke min. 1484lm
- svjetlosni tok LED modula min. 2274lm
- efikasnost svjetiljke min. 67lm/W
- klasa zaštite II
- odstupanje od temperature boje svjetla LED izvora iznosi 1,5 MacAdam stupnja
- indeks uzvrata boje je 92
- životni vijek LED izvora min. L90/B10 ≤50000h
- napajanje 220-240V - 50/60 Hz. 
- DALI adresabilna predspojna naprava
- raspon dimanja 1-100% 
- stupanj zaštite od čestica i vlage min. IP20
- svjetiljka posjeduje CE, ENEC, UKCA certifikate
- jamstvo u trajanju od min. 5 godina</t>
  </si>
  <si>
    <r>
      <t xml:space="preserve">Oznaka svjetiljke u projektu </t>
    </r>
    <r>
      <rPr>
        <b/>
        <sz val="10"/>
        <rFont val="Calibri"/>
        <family val="2"/>
      </rPr>
      <t>S1</t>
    </r>
    <r>
      <rPr>
        <sz val="10"/>
        <rFont val="Calibri"/>
        <family val="2"/>
      </rPr>
      <t>.</t>
    </r>
  </si>
  <si>
    <t>LED tračna svjetiljka za ugradnju u strujni šinski trofazni sustav</t>
  </si>
  <si>
    <t>Dobava i montaža rasvjetnog tijela:
- tračna svjetiljka za ugradnju u strujni šinski trofazni sustav
- kućište izrađeno od aluminija i polikarbonata
- kućište u crnoj boji
- optička leća od polimera</t>
  </si>
  <si>
    <t>Minimalne tehničke karakteristike:</t>
  </si>
  <si>
    <t>- tračna svjetiljka za ugradnju u strujni šinski trofazni sustav
- kućište izrađeno od aluminija i polikarbonata
- kućište u crnoj boji
- optička leća od polimera
- dimenzije svjetiljke s tračnim držačem max. š140 x v184mm
- dimenzije tijela svjetiljke max. fi92 x v97mm
- horizontalna rotacija svjetiljke na tračnom držaču za 360°
- vertikalna rotacija svjetiljke na tračnom držaču za 270°
- masa svjetiljke min. 0,78kg
- direktna zoom pranje zida simetrična distribucija svjetlosti
- izvor svjetlosti je integrirani LED snage max. 12.6W
- ukupna snaga sistema max. 15W  
- boja svjetlosti temperature 2700-7500K
- svjetlosni tok svjetiljke min. 590lm
- svjetlosni tok LED modula min. 1335lm
- efikasnost svjetiljke min. 39lm/W
- klasa zaštite II
- odstupanje od temperature boje svjetla LED izvora iznosi 2 MacAdam stupnja
- indeks uzvrata boje je 92
- životni vijek LED izvora min. L90/B10 ≤50000h
- napajanje 220-240V - 50/60 Hz. 
- DALI tip 8 adresabilna predspojna naprava
- raspon dimanja 1-100% 
- stupanj zaštite od čestica i vlage min. IP20
- svjetiljka posjeduje CE, ENEC, UKCA certifikate
- jamstvo u trajanju od min. 5 godina</t>
  </si>
  <si>
    <r>
      <t xml:space="preserve">Oznaka svjetiljke u projektu </t>
    </r>
    <r>
      <rPr>
        <b/>
        <sz val="10"/>
        <rFont val="Calibri"/>
        <family val="2"/>
      </rPr>
      <t>S2</t>
    </r>
    <r>
      <rPr>
        <sz val="10"/>
        <rFont val="Calibri"/>
        <family val="2"/>
      </rPr>
      <t>.</t>
    </r>
  </si>
  <si>
    <t xml:space="preserve"> - tračna svjetiljka za ugradnju u strujni šinski trofazni sustav
- kućište izrađeno od aluminija i polikarbonata
- kućište u crnoj boji
- optička leća od polimera
- dimenzije svjetiljke s tračnim držačem max. š144 x v177mm
- dimenzije tijela svjetiljke max. fi100 x v89mm
- horizontalna rotacija svjetiljke na tračnom držaču za 360°
- vertikalna rotacija svjetiljke na tračnom držaču za 270°
- masa svjetiljke min. 0,68kg
- direktna zoom spot simetrična distribucija svjetlosti širine snopa 16°-68°
- izvor svjetlosti je integrirani LED snage max. 19,6W
- ukupna snaga sistema max. 22,3W  
- boja svjetlosti temperature 3500K
- svjetlosni tok svjetiljke min. 1532lm
- svjetlosni tok LED modula min. 2348lm
- efikasnost svjetiljke min. 69lm/W
- klasa zaštite II
- odstupanje od temperature boje svjetla LED izvora iznosi 1,5 MacAdam stupnja
- indeks uzvrata boje je 92
- životni vijek LED izvora min. L90/B10 ≤50000h
- napajanje 220-240V - 50/60 Hz. 
- DALI adresabilna predspojna naprava
- raspon dimanja 1-100% 
- stupanj zaštite od čestica i vlage min. IP20
- svjetiljka posjeduje CE, ENEC, UKCA certifikate
- jamstvo u trajanju od min. 5 godina</t>
  </si>
  <si>
    <r>
      <t xml:space="preserve">Oznaka svjetiljke u projektu </t>
    </r>
    <r>
      <rPr>
        <b/>
        <sz val="10"/>
        <rFont val="Calibri"/>
        <family val="2"/>
      </rPr>
      <t>S3</t>
    </r>
    <r>
      <rPr>
        <sz val="10"/>
        <rFont val="Calibri"/>
        <family val="2"/>
      </rPr>
      <t>.</t>
    </r>
  </si>
  <si>
    <t xml:space="preserve"> - dimenzije svjetiljke s tračnim držačem max. š144 x v177mm
- dimenzije tijela svjetiljke max. fi100x v89mm
- horizontalna rotacija svjetiljke na tračnom držaču za 360°
- vertikalna rotacija svjetiljke na tračnom držaču za 270°
- masa svjetiljke min. 0,68kg
- direktna zoom ovalna simetrična distribucija svjetlosti širine snopa 27° x 68°
- izvor svjetlosti je integrirani LED snage max. 19,6W
- ukupna snaga sistema max. 22,3W  
- boja svjetlosti temperature 3500K
- svjetlosni tok svjetiljke min. 1524lm
- svjetlosni tok LED modula min. 2348lm
- efikasnost svjetiljke min. 68lm/W
- klasa zaštite II
- odstupanje od temperature boje svjetla LED izvora iznosi 1,5 MacAdam stupnja
- indeks uzvrata boje je 92
- životni vijek LED izvora min. L90/B10 ≤50000h
- napajanje 220-240V - 50/60 Hz. 
- DALI adresabilna predspojna naprava
- raspon dimanja 1-100% 
- stupanj zaštite od čestica i vlage min. IP20
- svjetiljka posjeduje CE, ENEC, UKCA certifikate
- jamstvo u trajanju od min. 5 godina</t>
  </si>
  <si>
    <r>
      <t xml:space="preserve">Oznaka svjetiljke u projektu </t>
    </r>
    <r>
      <rPr>
        <b/>
        <sz val="10"/>
        <rFont val="Calibri"/>
        <family val="2"/>
      </rPr>
      <t>S4</t>
    </r>
    <r>
      <rPr>
        <sz val="10"/>
        <rFont val="Calibri"/>
        <family val="2"/>
      </rPr>
      <t>.</t>
    </r>
  </si>
  <si>
    <t>Dobava i montaža rasvjetnog tijela:
- ovjesna svjetiljka za montažu na strop
- kućište u mjed boji
- kugla izrađena od opalnog stakla</t>
  </si>
  <si>
    <t xml:space="preserve"> - dimenzije svjetiljke sa držačem max. š200 x v470mm
- dimenzije tijela svjetiljke max. fi200
- duljina ovjesa max. 2700mm
- masa svjetiljke min. 1,75kg
- direktna difuzna distribucija svjetlosti
- izvor svjetlosti je integrirani E14 žarulja max. 60W
- boja svjetlosti temperature 2700K
- klasa zaštite I
- indeks uzvrata boje je 90
- napajanje 220-240V - 50/60 Hz
- ON/OFF predspojna naprava
- stupanj zaštite od čestica i vlage min. IP20
- svjetiljka posjeduje CE, ENEC, UKCA certifikate
- jamstvo u trajanju od min. 5 godina
- svjetiljka u kompletu sa montažnim setom i predspojnom napravom</t>
  </si>
  <si>
    <r>
      <t xml:space="preserve">Oznaka svjetiljke u projektu </t>
    </r>
    <r>
      <rPr>
        <b/>
        <sz val="10"/>
        <rFont val="Calibri"/>
        <family val="2"/>
      </rPr>
      <t>S5</t>
    </r>
    <r>
      <rPr>
        <sz val="10"/>
        <rFont val="Calibri"/>
        <family val="2"/>
      </rPr>
      <t>.</t>
    </r>
  </si>
  <si>
    <t>Ovjesna svjetiljka za montažu na strop</t>
  </si>
  <si>
    <t>Dobava i montaža rasvjetnog tijela:
- nadgradna svjetiljka za montažu na zid
- kućište u mjed boji
- kugla izrađena od opalnog stakla</t>
  </si>
  <si>
    <t xml:space="preserve"> - nadgradna svjetiljka za montažu na zid
- kućište u mjed boji
- kugla izrađena od opalnog stakla
- dimenzije svjetiljke sa držačem max. d280 x v216mm
- dimenzije tijela svjetiljke max. fi200
- masa svjetiljke min. 1,65kg
- direktna difuzna distribucija svjetlosti
- izvor svjetlosti je integrirani E14 žarulja max. 60W
- boja svjetlosti temperature 2700K
- klasa zaštite I
- indeks uzvrata boje je 90
- napajanje 220-240V - 50/60 Hz
- ON/OFF predspojna naprava
- stupanj zaštite od čestica i vlage min. IP20
- svjetiljka posjeduje CE, ENEC, UKCA certifikate
- jamstvo u trajanju od min. 5 godina
- svjetiljka u kompletu sa montažnim setom i predspojnom napravom</t>
  </si>
  <si>
    <r>
      <t xml:space="preserve">Oznaka svjetiljke u projektu </t>
    </r>
    <r>
      <rPr>
        <b/>
        <sz val="10"/>
        <rFont val="Calibri"/>
        <family val="2"/>
      </rPr>
      <t>S8</t>
    </r>
    <r>
      <rPr>
        <sz val="10"/>
        <rFont val="Calibri"/>
        <family val="2"/>
      </rPr>
      <t>.</t>
    </r>
  </si>
  <si>
    <t>nadgradna svjetiljka za montažu na zid</t>
  </si>
  <si>
    <t>Dobava i montaža rasvjetnog tijela:
- tračna svjetiljka za ugradnju u strujni šinski trofazni sustav
- kućište svjetiljke izrađeno od aluminija
- kućište u bijeloj boji RAL9016</t>
  </si>
  <si>
    <t xml:space="preserve"> - dimenzije svjetiljke s tračnim držačem max. d364 x v156mm
- dimenzije tijela svjetiljke max. fi45x v85mm
- horizontalna rotacija svjetiljke na tračnom držaču za 360°
- vertikalna rotacija svjetiljke na tračnom držaču za 90°
- masa svjetiljke min. 0,3kg
- direktna simetrična distribucija svjetlosti srednje širine snopa 24°
- ukupna snaga sistema max. 13W  
- boja svjetlosti temperature 3000K
- svjetlosni tok svjetiljke min. 1005lm
- efikasnost svjetiljke min. 77lm/W
- klasa zaštite II
- odstupanje od temperature boje svjetla LED izvora iznosi 3 MacAdam stupnja
- indeks uzvrata boje je &gt; 80
- životni vijek LED izvora min. L80=50000h
- napajanje 220-240V - 50/60 Hz. 
- DALI adresabilna predspojna naprava
- raspon dimanja 1-100% 
- stupanj zaštite od čestica i vlage min. IP20
- svjetiljka posjeduje CE, UKCA certifikate
- jamstvo u trajanju od min. 5 godina</t>
  </si>
  <si>
    <r>
      <t xml:space="preserve">Oznaka svjetiljke u projektu </t>
    </r>
    <r>
      <rPr>
        <b/>
        <sz val="10"/>
        <rFont val="Calibri"/>
        <family val="2"/>
      </rPr>
      <t>S9</t>
    </r>
    <r>
      <rPr>
        <sz val="10"/>
        <rFont val="Calibri"/>
        <family val="2"/>
      </rPr>
      <t>.</t>
    </r>
  </si>
  <si>
    <t xml:space="preserve"> - tračna svjetiljka za ugradnju u strujni šinski trofazni sustav
- kućište svjetiljke izrađeno od aluminija
- kućište u bijeloj boji RAL9016
- dimenzije svjetiljke s tračnim držačem max. d364 x v156mm
- dimenzije tijela svjetiljke max. fi45x v85mm
- horizontalna rotacija svjetiljke na tračnom držaču za 360°
- vertikalna rotacija svjetiljke na tračnom držaču za 90°
- masa svjetiljke min. 0,3kg
- direktna simetrična distribucija svjetlosti srednje širine snopa 36°
- ukupna snaga sistema max. 13W  
- boja svjetlosti temperature 3000K
- svjetlosni tok svjetiljke min. 980lm
- efikasnost svjetiljke min. 75lm/W
- klasa zaštite II
- odstupanje od temperature boje svjetla LED izvora iznosi 3 MacAdam stupnja
- indeks uzvrata boje je &gt; 80
- životni vijek LED izvora min. L80=50000h
- napajanje 220-240V - 50/60 Hz. 
- DALI adresabilna predspojna naprava
- raspon dimanja 1-100% 
- stupanj zaštite od čestica i vlage min. IP20
- svjetiljka posjeduje CE, UKCA certifikate
- jamstvo u trajanju od min. 5 godina</t>
  </si>
  <si>
    <r>
      <t xml:space="preserve">Oznaka svjetiljke u projektu </t>
    </r>
    <r>
      <rPr>
        <b/>
        <sz val="10"/>
        <rFont val="Calibri"/>
        <family val="2"/>
      </rPr>
      <t>S10</t>
    </r>
    <r>
      <rPr>
        <sz val="10"/>
        <rFont val="Calibri"/>
        <family val="2"/>
      </rPr>
      <t>.</t>
    </r>
  </si>
  <si>
    <t xml:space="preserve"> - tračna svjetiljka za ugradnju u strujni šinski trofazni sustav
- kućište svjetiljke izrađeno od aluminija
- kućište u bijeloj boji RAL9016
- dimenzije svjetiljke s tračnim držačem max. š14x d630 x v30mm
- masa svjetiljke min. 0,3kg
- direktna simetrična distribucija svjetlosti srednje širine snopa 57°
- ukupna snaga sistema max. 11,6W  
- boja svjetlosti temperature 3000K
- svjetlosni tok svjetiljke min. 1100lm
- efikasnost svjetiljke min. 95lm/W
- UGR svjetiljke ≤ 19
- fotobiološka klasa - grupa 1
- klasa zaštite II
- odstupanje od temperature boje svjetla LED izvora iznosi 3 MacAdam stupnja
- indeks uzvrata boje je &gt; 90
- životni vijek LED izvora min. L80=50000h
- napajanje 220-240V - 50/60 Hz. 
- DALI adresabilna predspojna naprava
- raspon dimanja 1-100% 
- stupanj zaštite od čestica i vlage min. IP20
- svjetiljka posjeduje CE, UKCA certifikate
- jamstvo u trajanju od min. 5 godina</t>
  </si>
  <si>
    <r>
      <t xml:space="preserve">Oznaka svjetiljke u projektu </t>
    </r>
    <r>
      <rPr>
        <b/>
        <sz val="10"/>
        <rFont val="Calibri"/>
        <family val="2"/>
      </rPr>
      <t>S11</t>
    </r>
    <r>
      <rPr>
        <sz val="10"/>
        <rFont val="Calibri"/>
        <family val="2"/>
      </rPr>
      <t>.</t>
    </r>
  </si>
  <si>
    <t xml:space="preserve"> - tračna svjetiljka za ugradnju u strujni šinski trofazni sustav
- kućište svjetiljke izrađeno od aluminija
- kućište u bijeloj boji RAL9016
- dimenzije svjetiljke s tračnim držačem max. š14x d630 x v30mm
- masa svjetiljke min. 0,3kg
- direktna simetrična distribucija svjetlosti srednje širine snopa 36°
- ukupna snaga sistema max. 12,9W  
- boja svjetlosti temperature 3000K
- svjetlosni tok svjetiljke min. 1100lm
- efikasnost svjetiljke min. 85lm/W
- UGR svjetiljke ≤ 19
- fotobiološka klasa - grupa 1
- klasa zaštite II
- odstupanje od temperature boje svjetla LED izvora iznosi 3 MacAdam stupnja
- indeks uzvrata boje je &gt; 90
- životni vijek LED izvora min. L80=50000h
- napajanje 220-240V - 50/60 Hz. 
- DALI adresabilna predspojna naprava
- raspon dimanja 1-100% 
- stupanj zaštite od čestica i vlage min. IP20
- svjetiljka posjeduje CE, UKCA certifikate
- jamstvo u trajanju od min. 5 godina</t>
  </si>
  <si>
    <r>
      <t xml:space="preserve">Oznaka svjetiljke u projektu </t>
    </r>
    <r>
      <rPr>
        <b/>
        <sz val="10"/>
        <rFont val="Calibri"/>
        <family val="2"/>
      </rPr>
      <t>S12</t>
    </r>
    <r>
      <rPr>
        <sz val="10"/>
        <rFont val="Calibri"/>
        <family val="2"/>
      </rPr>
      <t>.</t>
    </r>
  </si>
  <si>
    <t>Dobava i montaža rasvjetnog tijela:
- nadgradna svjetiljka za ugradnju na strop
- kućište svjetiljke izrađeno od aluminija
- pokrov svjetiljke izrađen od PMMA
- kućište u bijeloj boji RAL9016</t>
  </si>
  <si>
    <t xml:space="preserve"> - dimenzije svjetiljke fi135x v98mm
- masa svjetiljke min. 0,79kg
- direktna simetrična distribucija svjetlosti srednje širine snopa 100°
- ukupna snaga sistema max. 13W 
- ukupna snaga svjetiljke max. 10W 
- boja svjetlosti temperature 3000K
- svjetlosni tok LED modula min. 1375lm
- efikasnost sistema min. 138lm/W
- klasa zaštite II
- odstupanje od temperature boje svjetla LED izvora iznosi 2 MacAdam stupnja
- indeks uzvrata boje je &gt; 90
- životni vijek LED izvora min. L80B10 60000h
- napajanje 220-240V - 50/60 Hz. 
- ON/OFF predspojna naprava
- stupanj zaštite od čestica i vlage min. IP20
- svjetiljka posjeduje CE certifikat
- jamstvo u trajanju od min. 5 godina
- svjetiljka u kompletu sa montažnim setom i predspojnom napravom</t>
  </si>
  <si>
    <r>
      <t xml:space="preserve">Oznaka svjetiljke u projektu </t>
    </r>
    <r>
      <rPr>
        <b/>
        <sz val="10"/>
        <rFont val="Calibri"/>
        <family val="2"/>
      </rPr>
      <t>S15.</t>
    </r>
  </si>
  <si>
    <t>LED nadgradna svjetiljka za ugradnju na strop</t>
  </si>
  <si>
    <t>Dobava i montaža rasvjetnog tijela:
- nadgradna svjetiljka za ugradnju na zid
- kućište svjetiljke izrađeno od aluminija
- pokrov svjetiljke izrađen od PMMA
- kućište u mjed boji
- dimenzije svjetiljke š105 x d450 v105mm
- masa svjetiljke min. 1,69kg
- direktna asimetrična difuzna distribucija svjetlosti</t>
  </si>
  <si>
    <t xml:space="preserve"> - ukupna snaga sistema max. 26W 
- boja svjetlosti temperature 2700K
- svjetlosni tok LED modula min. 3489lm
- svjetlosni tok svjetiljke min. 1971lm
- efikasnost svjetiljke min. 76lm/W
- odstupanje od temperature boje svjetla LED izvora iznosi 3 MacAdam stupnja
- napajanje 220-240V - 50/60 Hz. 
- ON/OFF predspojna naprava
- stupanj zaštite od čestica i vlage min. IP40
- svjetiljka posjeduje CE certifikat
- jamstvo u trajanju od min. 5 godina
- svjetiljka u kompletu sa montažnim setom i predspojnom napravom</t>
  </si>
  <si>
    <r>
      <t xml:space="preserve">Oznaka svjetiljke u projektu </t>
    </r>
    <r>
      <rPr>
        <b/>
        <sz val="10"/>
        <rFont val="Calibri"/>
        <family val="2"/>
      </rPr>
      <t>S16.</t>
    </r>
  </si>
  <si>
    <t>LED nadgradna svjetiljka za ugradnju na zid</t>
  </si>
  <si>
    <t>Dobava i montaža rasvjetnog tijela:
- ovjesna L skulpturalna svjetiljka za ugradnju na strop
- kućište svjetiljke izrađeno od aluminija
- pokrov svjetiljke izrađen od polikarbonata
- kućište u crnoj boji
- ugradna rozeta u crnoj boji
- dimenzije kraće svjetiljke š20 x d1500 v30mm
- dimenzije dulje svjetiljke š20 x d3000 v30mm
- duljina ovjesa max. 3000mm
- masa svjetiljke min. 3,9kg</t>
  </si>
  <si>
    <t xml:space="preserve"> - direktna simetrična difuzna distribucija svjetlosti
- ukupna snaga sistema max. 79.2W 
- boja svjetlosti temperature 2700K
- svjetlosni tok svjetiljke min. 9779lm
- klasa zaštite III
- napajanje 220-240V/24VDC - 50/60 Hz
- DALI adresabilna predspojna naprava
- stupanj zaštite od čestica i vlage min. IP40
- svjetiljka posjeduje CE certifikat
- jamstvo u trajanju od min. 5 godina
- svjetiljka u kompletu sa montažnim setom i predspojnom napravom</t>
  </si>
  <si>
    <t>Ugradnja u vanjsko stubištu.</t>
  </si>
  <si>
    <r>
      <t xml:space="preserve">Oznaka svjetiljke u projektu </t>
    </r>
    <r>
      <rPr>
        <b/>
        <sz val="10"/>
        <rFont val="Calibri"/>
        <family val="2"/>
      </rPr>
      <t>S17.</t>
    </r>
  </si>
  <si>
    <t xml:space="preserve"> Ovjesna L skulpturalna svjetiljka za ugradnju na strop</t>
  </si>
  <si>
    <t>Dobava i montaža rasvjetnog tijela:
- ovjesna svjetiljka za ugradnju na strop
- kućište svjetiljke izrađeno od aluminija
- pokrov svjetiljke izrađen od polikarbonata
- kućište u crnoj boji
- ugradna rozeta u crnoj boji
- dimenzije svjetiljke š20 x d3000 v30mm
- duljina ovjesa max. 3000mm
- masa svjetiljke min. 2,4kg
- direktna asimetrična difuzna distribucija svjetlosti</t>
  </si>
  <si>
    <t xml:space="preserve"> - ukupna snaga sistema max. 52.8W 
- boja svjetlosti temperature 2700K
- svjetlosni tok svjetiljke min. 6519lm
- klasa zaštite III
- napajanje 220-240V/24VDC - 50/60 Hz
- DALI adresabilna predspojna naprava
- stupanj zaštite od čestica i vlage min. IP20
- svjetiljka posjeduje CE certifikat
- jamstvo u trajanju od min. 5 godina
- svjetiljka u kompletu sa montažnim setom i predspojnom napravom</t>
  </si>
  <si>
    <r>
      <t xml:space="preserve">Oznaka svjetiljke u projektu </t>
    </r>
    <r>
      <rPr>
        <b/>
        <sz val="10"/>
        <rFont val="Calibri"/>
        <family val="2"/>
      </rPr>
      <t>S18.</t>
    </r>
  </si>
  <si>
    <t>Ovjesna svjetiljka za ugradnju na strop</t>
  </si>
  <si>
    <t>Dobava i montaža rasvjetnog tijela:
- podna samostojeća svjetiljka
- kućište svjetiljke izrađeno od aluminija
- kućište u crnoj boji
- dimenzije svjetiljke max. š350 x v1900mm
- dimenzije tijela svjetiljke max. š350x d670 x v60mm
- direktna i indirektna simetrična distribucija svjetlosti 88°</t>
  </si>
  <si>
    <t xml:space="preserve"> - ukupna snaga sistema max. 57W 
- boja svjetlosti temperature 3000K
- svjetlosni tok svjetiljke min. 8189lm
- odstupanje od temperature boje svjetla LED izvora iznosi 3 MacAdam stupnja
- indeks uzvrata boje je 80
- životni vijek LED izvora min. 50000h
- klasa zaštite I
- napajanje 220-240V/24VDC - 50/60 Hz šutko utikač
- stupanj zaštite od čestica i vlage min. IP20
- svjetiljka posjeduje CE certifikat
- jamstvo u trajanju od min. 5 godina
- svjetiljka u kompletu sa montažnim setom i predspojnom napravom</t>
  </si>
  <si>
    <r>
      <t xml:space="preserve">Oznaka svjetiljke u projektu </t>
    </r>
    <r>
      <rPr>
        <b/>
        <sz val="10"/>
        <rFont val="Calibri"/>
        <family val="2"/>
      </rPr>
      <t>S19.</t>
    </r>
  </si>
  <si>
    <t>LED podna samostojeća svjetiljka</t>
  </si>
  <si>
    <t>Dobava i montaža rasvjetnog tijela:
- ovjesna nadgradna svjetiljka
- kućište svjetiljke izrađeno od plastike
- kućište u sivoj boji
- dimenzije svjetiljke max. š98 x d1175 v84mm
- direktna simetrična distribucija svjetlosti</t>
  </si>
  <si>
    <t xml:space="preserve"> - ukupna snaga sistema max. 27W 
- boja svjetlosti temperature 3000K
- svjetlosni tok svjetiljke min. 4855lm
- odstupanje od temperature boje svjetla LED izvora iznosi 3 MacAdam stupnja
- indeks uzvrata boje je 80
- životni vijek LED izvora min. L80/B10 &gt;72000h
- klasa zaštite I
- napajanje 220-240V/24VDC - 50/60 Hz
- stupanj zaštite od čestica i vlage min. IP20
- svjetiljka posjeduje CE certifikat
- jamstvo u trajanju od min. 5 godina
- svjetiljka u kompletu sa montažnim setom i predspojnom napravom</t>
  </si>
  <si>
    <r>
      <t xml:space="preserve">Oznaka svjetiljke u projektu </t>
    </r>
    <r>
      <rPr>
        <b/>
        <sz val="10"/>
        <rFont val="Calibri"/>
        <family val="2"/>
      </rPr>
      <t>S20.</t>
    </r>
  </si>
  <si>
    <t>LED ovjesna nadgradna svjetiljka</t>
  </si>
  <si>
    <t>Dobava i montaža rasvjetnog tijela:
- zidna/stropna nadgradna svjetiljka
- kućište svjetiljke izrađeno od plastike
- kućište u sivoj boji
- dimenzije svjetiljke max. š98 x d1175 v84mm
- direktna simetrična distribucija svjetlosti</t>
  </si>
  <si>
    <r>
      <t xml:space="preserve">Oznaka svjetiljke u projektu </t>
    </r>
    <r>
      <rPr>
        <b/>
        <sz val="10"/>
        <rFont val="Calibri"/>
        <family val="2"/>
      </rPr>
      <t>S20.1.</t>
    </r>
  </si>
  <si>
    <t>LED stropna ugradna svjetiljka</t>
  </si>
  <si>
    <t>Dobava i montaža rasvjetnog tijela:
- stropna usmjeriva nadgradna svjetiljka
- kućište u bijeloj boji
- dimenzije svjetiljke max. fi90 x v134mm
- direktna simetrična distribucija svjetlosti 52°</t>
  </si>
  <si>
    <t xml:space="preserve"> - ukupna snaga sistema max. 10W 
- boja svjetlosti temperature 3000K
- svjetlosni tok svjetiljke min. 1030lm
- odstupanje od temperature boje svjetla LED izvora iznosi 3 MacAdam stupnja
- indeks uzvrata boje je &gt;90
- životni vijek LED izvora min. L90/B10 &gt;41000h
- klasa zaštite I
- napajanje 220-240V/24VDC - 50/60 Hz
- stupanj zaštite od čestica i vlage min. IP20
- svjetiljka posjeduje CE certifikat
- jamstvo u trajanju od min. 5 godina
- svjetiljka u kompletu sa montažnim setom i predspojnom napravom</t>
  </si>
  <si>
    <r>
      <t xml:space="preserve">Oznaka svjetiljke u projektu </t>
    </r>
    <r>
      <rPr>
        <b/>
        <sz val="10"/>
        <rFont val="Calibri"/>
        <family val="2"/>
      </rPr>
      <t>S21.</t>
    </r>
  </si>
  <si>
    <t>LED stropna usmjeriva nadgradna svjetiljka</t>
  </si>
  <si>
    <t xml:space="preserve">Dobava i montaža rasvjetnog tijela:
- nadgradna LED traka u ALU profilu
- opalni difuzor
- ALU profil u bijeloj boji
- ALU profil dimenzija u presjeku max. š16,2 x v12mm 
- LED traka dimenzija u presjeku max. š10 x v5mm </t>
  </si>
  <si>
    <t xml:space="preserve"> - izvor svjetlosti je integrirani LED snage min. 10W/m'
- COB tehnologija osigurava jednoliku rasvjetljenost
- toplo bijela boja svjetlosti temperature 3000K
- svjetlosni tok min. 900lm/m'
- napajanje 230VAC/24VDC je odvojeno i DALI dimabilno
- stupanj zaštite od čestica i vlage min. IP20
- svjetiljka u kompletu sa setom za ugradnju
- jamstvo u trajanju od min. 5 godina
- svjetiljka u kompletu sa ALU profilom i montažnim setom</t>
  </si>
  <si>
    <r>
      <t>Oznaka svjetiljke u projektu</t>
    </r>
    <r>
      <rPr>
        <b/>
        <sz val="10"/>
        <rFont val="Calibri"/>
        <family val="2"/>
      </rPr>
      <t xml:space="preserve"> L1.</t>
    </r>
  </si>
  <si>
    <t>Dobava, ugradnja i spajanje predspojnog uređaja:
- dimenzije predspojnog uređaja max. š43 x d225 v30mm</t>
  </si>
  <si>
    <t xml:space="preserve"> - 60W 
- 230V/24VDC 
- DALI
- IP20
- uređaj posjeduje CE, ENEC, UKCA, RoHS certifikat</t>
  </si>
  <si>
    <r>
      <t xml:space="preserve">Oznaka u projektu </t>
    </r>
    <r>
      <rPr>
        <b/>
        <sz val="10"/>
        <rFont val="Calibri"/>
        <family val="2"/>
      </rPr>
      <t>D1.</t>
    </r>
  </si>
  <si>
    <t>Predspojni uređaj</t>
  </si>
  <si>
    <t xml:space="preserve">Dobava i montaža rasvjetnog tijela:
- nadgradni silikonski LED profil
- LED silikonski profil dimenzija max. š16 x v16mm 
- LED čelični nosač dimenzija max. š16,8 x d20,2 x v12,5mm </t>
  </si>
  <si>
    <t xml:space="preserve"> - izvor svjetlosti je integrirani LED snage min. 10W/m'
- toplo bijela boja svjetlosti temperature 3000K
- svjetlosni tok min. 900lm/m'
- napajanje pali/gasi 230VAC/24VDC je odvojeno
- stupanj zaštite od čestica i vlage min. IP67
- svjetiljka u kompletu s montažnim setom koji se montira na svakih 30cm
- jamstvo u trajanju od min. 5 godina</t>
  </si>
  <si>
    <r>
      <t xml:space="preserve">Oznaka svjetiljke u projektu </t>
    </r>
    <r>
      <rPr>
        <b/>
        <sz val="10"/>
        <rFont val="Calibri"/>
        <family val="2"/>
      </rPr>
      <t>L2.</t>
    </r>
  </si>
  <si>
    <t>Nadgradni silikonski LED profil</t>
  </si>
  <si>
    <t>Dobava, ugradnja i spajanje predspojnog uređaja:
- dimenzije predspojnog uređaja max. š40 x d148 v30mm</t>
  </si>
  <si>
    <t xml:space="preserve"> - 35W 
- 230V/24VDC 
- PALI/GASI
- IP67
- uređaj posjeduje CE certifikat</t>
  </si>
  <si>
    <r>
      <t xml:space="preserve">Oznaka svjetiljke u projektu </t>
    </r>
    <r>
      <rPr>
        <b/>
        <sz val="10"/>
        <rFont val="Calibri"/>
        <family val="2"/>
      </rPr>
      <t>D2.</t>
    </r>
  </si>
  <si>
    <t>Dobava, ugradnja i spajanje strujne šine:
- stropna nadgradna trofazna DALI dimabilna šina
- materijal aluminij, praškasto bojano u crnoj boji
- dimenzije poprečnog presjeka šine š33.5 x v34mm
- masa svjetiljke max.1,1kg/m'</t>
  </si>
  <si>
    <t xml:space="preserve"> - šinski profil dolazi sa integrirana 4 izolirana bakrena vodiča i 1 linijom uzemljenja
- svaki krugu podnosi minimalno strujno opterećenje 16A
- stupanj zaštite od čestica i vlage IP20
- šina u kompletu sa svim potrebnim priborom za montažu, DALI napojnom uvodnicom, mehaničkim i električnim spojnicima, završnim kapama, priključnim materijalom i elementima
- šinski sustav posjeduje CE, ENEC, UKCA, VDE certifikat
- jamstvo u trajanju od min. 5 godina</t>
  </si>
  <si>
    <r>
      <t xml:space="preserve">Oznaka svjetiljke u projektu </t>
    </r>
    <r>
      <rPr>
        <b/>
        <sz val="10"/>
        <rFont val="Calibri"/>
        <family val="2"/>
      </rPr>
      <t>Tn.</t>
    </r>
  </si>
  <si>
    <t>trofazna DALI dimabilna šina duljine 4000m</t>
  </si>
  <si>
    <t>trofazna DALI dimabilna šina duljine 3000m</t>
  </si>
  <si>
    <t>trofazna DALI dimabilna šina duljine 2000m</t>
  </si>
  <si>
    <t>trofazna DALI dimabilna šina duljine 1000m</t>
  </si>
  <si>
    <t>Dobava, ugradnja i spajanje strujne šine:
- stropna ovjesna trofazna DALI dimabilna šina
- materijal aluminij, praškasto bojano u bijelu boju
- dimenzije poprečnog presjeka šine š31 x v38mm
- masa svjetiljke max.1kg/m'</t>
  </si>
  <si>
    <t xml:space="preserve"> - šinski profil dolazi sa integrirana 6 izolirana bakrena vodiča i 1 linijom uzemljenja
- svaki krugu podnosi minimalno strujno opterećenje 16A
- stupanj zaštite od čestica i vlage IP20
- šina u kompletu sa svim potrebnim priborom za montažu, DALI napojnom uvodnicom, mehaničkim i električnim spojnicima, završnim kapama, priključnim materijalom i elementima
- šinski sustav posjeduje CE certifikat
- jamstvo u trajanju od min. 5 godina</t>
  </si>
  <si>
    <r>
      <t xml:space="preserve">Oznaka svjetiljke u projektu </t>
    </r>
    <r>
      <rPr>
        <b/>
        <sz val="10"/>
        <rFont val="Calibri"/>
        <family val="2"/>
      </rPr>
      <t>To.</t>
    </r>
  </si>
  <si>
    <t>Dobava, ugradnja i spajanje strujne šine:
- stropna ugradna trofazna DALI dimabilna šina
- materijal aluminij, praškasto bojano u bijelu boju
- dimenzije poprečnog presjeka šine š31 x v38mm
- masa svjetiljke max.1kg/m'</t>
  </si>
  <si>
    <r>
      <t xml:space="preserve">Oznaka svjetiljke u projektu </t>
    </r>
    <r>
      <rPr>
        <b/>
        <sz val="10"/>
        <rFont val="Calibri"/>
        <family val="2"/>
      </rPr>
      <t>Tu.</t>
    </r>
  </si>
  <si>
    <t>vanjska rasvjeta</t>
  </si>
  <si>
    <t>Dobava i montaža rasvjetnog tijela:
- podna svjetiljka za ugradnju u čvrstu podnu konstrukciju
- kućište izrađeno od nehrđajućeg čelika
- vidljivi dio svjetiljke u korten boji
- optička leća izrađena od silikatnog stakla
- dimenzije svjetiljke s nosačem max. fi120 x v125mm
- dimenzije nadzemnog djela svjetiljke max. fi120 x v30mm 
- masa svjetiljke min. 1,4kg
- direktna asimetrična podna distribucija svjetlosti širine snopa 60°</t>
  </si>
  <si>
    <t xml:space="preserve"> - ukupna snaga sistema max. 2,3W  
- boja svjetlosti temperature 2700K
- svjetlosni tok svjetiljke min. 23lm
- svjetlosni tok LED modula min. 145lm
- efikasnost svjetiljke min. 10lm/W
- klasa zaštite I
- indeks uzvrata boje &gt;80
- životni vijek LED izvora min. L90/B50 &gt; 100000h
- napajanje 220-240V - 50/60 Hz. 
- ON/OFF predspojna naprava
- stupanj zaštite od čestica i vlage min. IP67
- stupanj zaštite od udara IK10
- težina opterećenja 1000kg
- svjetiljka posjeduje CE, ENEC certifikate
- svjetiljka u kompletu s montažnim setom i vodootrponim napojnim kabelom 05RN8-F 3 G 1 duljine 1,8h 
- jamstvo u trajanju od min. 5 godina</t>
  </si>
  <si>
    <r>
      <t xml:space="preserve">Oznaka svjetiljke u projektu </t>
    </r>
    <r>
      <rPr>
        <b/>
        <sz val="10"/>
        <rFont val="Calibri"/>
        <family val="2"/>
      </rPr>
      <t>V1.</t>
    </r>
  </si>
  <si>
    <t>LED podna svjetiljka za ugradnju u čvrstu podnu konstrukciju</t>
  </si>
  <si>
    <t>Dobava i montaža rasvjetnog tijela:
- nadgradna svjetiljka za montažu na zid
- kućište u mjed boji
- kugla izrađena od opalnog stakla
- dimenzije svjetiljke sa držačem max. š155 x d300 x v296mm
- masa svjetiljke min. 2,1kg
- direktna simetrična podna distribucija svjetlosti širine snopa 112°</t>
  </si>
  <si>
    <t xml:space="preserve"> - direktna simetrična podna distribucija svjetlosti širine snopa 112°
- izvor svjetlosti je integrirani LED max. 9,5W
- boja svjetlosti temperature 2700K
- klasa zaštite I
- indeks uzvrata boje &gt;80
- napajanje 220-240V - 50/60 Hz
- DALI predspojna naprava
- stupanj zaštite od čestica i vlage min. IP65
- stupanj zaštite od udara IK07
- svjetiljka posjeduje CE certifikat
- fotobiološki razred max. RG0
- jamstvo u trajanju od min. 5 godina
- svjetiljka u kompletu sa montažnim setom i predspojnom napravom</t>
  </si>
  <si>
    <r>
      <t xml:space="preserve">Oznaka svjetiljke u projektu </t>
    </r>
    <r>
      <rPr>
        <b/>
        <sz val="10"/>
        <rFont val="Calibri"/>
        <family val="2"/>
      </rPr>
      <t>V2.</t>
    </r>
  </si>
  <si>
    <t>LED nadgradna svjetiljka za montažu na zid</t>
  </si>
  <si>
    <t>Dobava i montaža rasvjetnog tijela:
- podna samostojeća usmjeriva svjetiljka
- kućište izrađeno od lijevanog aluminija
- svjetiljka u titanium sivoj boji
- optička leća izrađena od polimera
- dimenzije svjetiljke s kućištem max. š153 x v211mm
- dimenzije svjetiljke max. fi99 x v34mm
- horizontalna rotacija svjetiljke na tračnom držaču 360°
- vertikalna rotacija svjetiljke na držaču 120°
- masa svjetiljke min. 1,2kg
- direktna ovalna simetrična distribucija svjetlosti širine snopa 61° x 16°</t>
  </si>
  <si>
    <t xml:space="preserve"> - ukupna snaga sistema max. 7,9W  
- boja svjetlosti temperature 3000K
- svjetlosni tok svjetiljke min. 564lm
- svjetlosni tok LED modula min. 717lm
- efikasnost svjetiljke min. 71lm/W
- odstupanje od temperature boje svjetla LED izvora iznosi 1,5 MacAdam stupnja
- klasa zaštite II
- indeks uzvrata boje je 92
- životni vijek LED izvora min. L90/B10 &gt; 50000h
- napajanje 220-240V - 50/60 Hz
- DALI adresabilna predspojna naprava
- stupanj zaštite od čestica i vlage min. IP65
- stupanj zaštite od udara IK07
- svjetiljka posjeduje CE, ENEC, UKCA certifikate
- svjetiljka u kompletu s montažnim setom za podnu montažu
- jamstvo u trajanju od min. 5 godina</t>
  </si>
  <si>
    <r>
      <t xml:space="preserve">Oznaka svjetiljke u projektu </t>
    </r>
    <r>
      <rPr>
        <b/>
        <sz val="10"/>
        <rFont val="Calibri"/>
        <family val="2"/>
      </rPr>
      <t>V3.</t>
    </r>
  </si>
  <si>
    <t>LED podna samostojeća usmjeriva svjetiljka</t>
  </si>
  <si>
    <t>Dobava i montaža rasvjetnog tijela:
- nadgradna usmjeriva svjetiljka
- kućište izrađeno od ekstrudiranog aluminija
- svjetiljka u aluminij boji
- optička leća izrađena od PMMA
- dimenzije svjetiljke max. š35 x d1238 x v54mm
- masa svjetiljke min. 2,1kg
- direktna pranje zida simetrična distribucija svjetlosti širine snopa 24° x 32°</t>
  </si>
  <si>
    <t xml:space="preserve"> - ukupna snaga sistema max. 45W  
- boja svjetlosti temperature 2700K
- svjetlosni tok svjetiljke min. 3731lm
- efikasnost svjetiljke min. 83lm/W
- odstupanje od temperature boje svjetla LED izvora iznosi 2 MacAdam stupnja
- klasa zaštite I
- indeks uzvrata boje je 80
- životni vijek LED izvora min. L90/B10 &gt;150000h
- napajanje 220-240V - 50/60 Hz
- DALI adresabilna predspojna naprava
- stupanj zaštite od čestica i vlage min. IP67
- stupanj zaštite od udara IK06
- radna temperatura okoliša -40°C do 50°C
- svjetiljka posjeduje CE, RoHS certifikate
- svjetiljka u kompletu s montažnim setom - zakretnim nosačem v85mm
- jamstvo u trajanju od min. 5 godina</t>
  </si>
  <si>
    <r>
      <t xml:space="preserve">Oznaka svjetiljke u projektu </t>
    </r>
    <r>
      <rPr>
        <b/>
        <sz val="10"/>
        <rFont val="Calibri"/>
        <family val="2"/>
      </rPr>
      <t>V4.1.</t>
    </r>
  </si>
  <si>
    <t>LED nadgradna usmjeriva svjetiljka</t>
  </si>
  <si>
    <t>Dobava i montaža rasvjetnog tijela:
- nadgradna usmjeriva svjetiljka
- kućište izrađeno od ekstrudiranog aluminija
- svjetiljka u aluminij boji
- optička leća izrađena od PMMA
- dimenzije svjetiljke max. š35 x d926 x v54mm
- masa svjetiljke min. 1,7kg
- direktna pranje zida simetrična distribucija svjetlosti širine snopa 24° x 32°</t>
  </si>
  <si>
    <t xml:space="preserve"> - ukupna snaga sistema max. 34W  
- boja svjetlosti temperature 2200K
- svjetlosni tok svjetiljke min. 2871lm
- efikasnost svjetiljke min. 83lm/W
- odstupanje od temperature boje svjetla LED izvora iznosi 2 MacAdam stupnja
- klasa zaštite I
- indeks uzvrata boje je 80
- životni vijek LED izvora min. L90/B10 &gt;150000h
- napajanje 220-240V - 50/60 Hz
- DALI adresabilna predspojna naprava
- stupanj zaštite od čestica i vlage min. IP67
- stupanj zaštite od udara IK06
- radna temperatura okoliša -40°C do 50°C
- svjetiljka posjeduje CE, RoHS certifikate
- svjetiljka u kompletu s montažnim setom - zakretnim nosačem v85mm
- jamstvo u trajanju od min. 5 godina</t>
  </si>
  <si>
    <r>
      <t xml:space="preserve">Oznaka svjetiljke u projektu </t>
    </r>
    <r>
      <rPr>
        <b/>
        <sz val="10"/>
        <rFont val="Calibri"/>
        <family val="2"/>
      </rPr>
      <t>V4.2.</t>
    </r>
  </si>
  <si>
    <t xml:space="preserve"> - ukupna snaga sistema max. 34W  
- boja svjetlosti temperature 3000K
- svjetlosni tok svjetiljke min. 2871lm
- efikasnost svjetiljke min. 83lm/W
- odstupanje od temperature boje svjetla LED izvora iznosi 2 MacAdam stupnja
- klasa zaštite I
- indeks uzvrata boje je 80
- životni vijek LED izvora min. L90/B10 &gt;150000h
- napajanje 220-240V - 50/60 Hz
- DALI adresabilna predspojna naprava
- stupanj zaštite od čestica i vlage min. IP67
- stupanj zaštite od udara IK06
- radna temperatura okoliša -40°C do 50°C
- svjetiljka posjeduje CE, RoHS certifikate
- svjetiljka u kompletu s montažnim setom - zakretnim nosačem v85mm
- jamstvo u trajanju od min. 5 godina</t>
  </si>
  <si>
    <r>
      <t xml:space="preserve">Oznaka svjetiljke u projektu </t>
    </r>
    <r>
      <rPr>
        <b/>
        <sz val="10"/>
        <rFont val="Calibri"/>
        <family val="2"/>
      </rPr>
      <t>V4.3.</t>
    </r>
  </si>
  <si>
    <t>Dobava i montaža rasvjetnog tijela:
- podna stupić svjetiljka za ugradnju na čvrstu podnu konstrukciju
- kućište izrađeno od nehrđajućeg čelika
- vidljivi dio svjetiljke u grafitnoj boji
- odsijač izrađen od aluminija
- dimenzije svjetiljke max. fi190 x v1000mm
- masa svjetiljke min. 6,3kg
- direktna asimetrična distribucija svjetlosti</t>
  </si>
  <si>
    <t xml:space="preserve"> - ukupna snaga sistema max. 13,3W  
- boja svjetlosti temperature 3000K
- svjetlosni tok svjetiljke min. 1694lm
- svjetlosni tok LED modula min. 2215lm
- efikasnost svjetiljke min. 127lm/W
- klasa zaštite I
- indeks uzvrata boje &gt;80
- životni vijek LED izvora min. L90/B50 &gt; 100000h
- napajanje 220-240V - 50/60 Hz
- DALI adresabilna predspojna naprava
- stupanj zaštite od čestica i vlage min. IP65
- stupanj zaštite od udara IK07
- svjetiljka posjeduje CE, ENEC certifikate
- svjetiljka u kompletu s montažnim ankerom
- jamstvo u trajanju od min. 5 godina</t>
  </si>
  <si>
    <r>
      <t xml:space="preserve">Oznaka svjetiljke u projektu </t>
    </r>
    <r>
      <rPr>
        <b/>
        <sz val="10"/>
        <rFont val="Calibri"/>
        <family val="2"/>
      </rPr>
      <t>V5.</t>
    </r>
  </si>
  <si>
    <t>LED podna stupić svjetiljka za ugradnju na čvrstu podnu konstrukciju</t>
  </si>
  <si>
    <t>Dobava i montaža rasvjetnog tijela:
- zidna ugradna svjetiljka za ugradnju u zid
- kućište izrađeno od ljevanog aluminija i nehrđajućeg čelika
- svjetiljka u grafitnoj boji
- odsijač izrađen od aluminija
- svjetiljka sa zaštitnim staklom
- dimenzije svjetiljke max. š80 x d80 v80mm
- masa svjetiljke min. 0,25kg
- direktna asimetrična distribucija svjetlosti</t>
  </si>
  <si>
    <t xml:space="preserve"> - ukupna snaga sistema max. 2,7W  
- boja svjetlosti temperature 3000K
- svjetlosni tok svjetiljke min. 105lm
- svjetlosni tok LED modula min. 325lm
- efikasnost svjetiljke min. 38,9lm/W
- klasa zaštite III
- indeks uzvrata boje &gt;80
- životni vijek LED izvora min. L90/B50 &gt; 100000h
- napajanje 24VDC
- stupanj zaštite od čestica i vlage min. IP65
- stupanj zaštite od udara IK10
- svjetiljka posjeduje CE certifikat
- svjetiljka u kompletu s montažnim kutijom za ugradnju u zid
- jamstvo u trajanju od min. 5 godina- zidna ugradna svjetiljka za ugradnju u zid
- kućište izrađeno od ljevanog aluminija i nehrđajućeg čelika
- svjetiljka u grafitnoj boji
- odsijač izrađen od aluminija
- svjetiljka sa zaštitnim staklom
- dimenzije svjetiljke max. š80 x d80 v80mm
- masa svjetiljke min. 0,25kg
- direktna asimetrična distribucija svjetlosti</t>
  </si>
  <si>
    <r>
      <t xml:space="preserve">Oznaka svjetiljke u projektu </t>
    </r>
    <r>
      <rPr>
        <b/>
        <sz val="10"/>
        <rFont val="Calibri"/>
        <family val="2"/>
      </rPr>
      <t>V6.</t>
    </r>
  </si>
  <si>
    <t>LED zidna ugradna svjetiljka za ugradnju u zid</t>
  </si>
  <si>
    <t>Dobava, ugradnja i spajanje predspojnog uređaja za V6:
- dimenzije predspojnog uređaja max. š55 x d215 v50mm
- masa predspojnog uređaja min. 0,25kg
- razvodna kutija za smještaj uređaja sa uvodnicama za kabele, odgovarajuće IP zaštite i nosačem za vanjsku ugradnju</t>
  </si>
  <si>
    <t xml:space="preserve"> - 25W 
- 230V/24VDC 
- klasa zaštite II
- ON/OFF
- IP65
- uređaj posjeduje CE certifikat</t>
  </si>
  <si>
    <r>
      <t xml:space="preserve">Oznaka svjetiljke u projektu </t>
    </r>
    <r>
      <rPr>
        <b/>
        <sz val="10"/>
        <rFont val="Calibri"/>
        <family val="2"/>
      </rPr>
      <t>DV6.</t>
    </r>
  </si>
  <si>
    <t>Dobava, ugradnja i spajanje rasvjetnog tijela:
- zidna nadgradna svjetiljka za ugradnju na zid
- kućište izrađeno od ljevanog aluminija
- svjetiljka u bijeloj boji
- svjetiljka sa zaštitnim dodatno prozirnim staklom
- dimenzije svjetiljke max. š89 x d88 v89mm
- masa svjetiljke min. 0,77kg
- direktna simetrična distribucija svjetlosti širine snopa 6° x 46°</t>
  </si>
  <si>
    <t xml:space="preserve"> - ukupna snaga sistema max. 8,7W 
 - efikasnost svjetiljke min. 6lm/W
- boja svjetlosti temperature 2700K
- svjetlosni tok LED modula min. 792lm
- svjetlosni tok svjetiljke min. 60lm
- odstupanje od temperature boje svjetla LED izvora iznosi 2 MacAdam stupnja
- klasa zaštite I
- indeks uzvrata boje je 80
- životni vijek LED izvora min. L70/B10 &gt; 250000h
- napajanje 220-240V - 50/60 Hz
- stupanj zaštite od čestica i vlage min. IP65
- stupanj zaštite od udara IK08
- radna temperatura okoliša -20°C do 50°C
- svjetiljka posjeduje CE certifikat
- svjetiljka u kompletu s montažnim setom
- jamstvo u trajanju od min. 5 godina</t>
  </si>
  <si>
    <r>
      <t>Oznaka svjetiljke u projektu</t>
    </r>
    <r>
      <rPr>
        <b/>
        <sz val="10"/>
        <rFont val="Calibri"/>
        <family val="2"/>
      </rPr>
      <t xml:space="preserve"> V8.</t>
    </r>
  </si>
  <si>
    <t>LED zidna nadgradna svjetiljka za ugradnju na zid</t>
  </si>
  <si>
    <t>Dobava, ugradnja i spajanje rasvjetnog tijela:
- nadgradna usmjeriva svjetiljka
- kućište izrađeno od A2 nehrđajućeg čelika
- svjetiljka u crnoj boji
- optička leća izrađena od PMMA
- zaslona izrađena od kaljenog stakla
- dimenzije svjetiljke max. š186 x d134 x v233mm
- masa svjetiljke min. 3kg
- direktna simetrična distribucija svjetlosti širine snopa 61°</t>
  </si>
  <si>
    <t xml:space="preserve"> - ukupna snaga sistema max. 34W  
- boja svjetlosti temperature 2700K
- svjetlosni tok svjetiljke min. 3436lm
- efikasnost svjetiljke min. 101lm/W
- odstupanje od temperature boje svjetla LED izvora iznosi 2 MacAdam stupnja
- klasa zaštite I
- indeks uzvrata boje je 80
- životni vijek LED izvora min. L90/B10 &gt;60000h
- napajanje 220-240V - 50/60 Hz
- DALI adresabilna predspojna naprava
- stupanj zaštite od čestica i vlage min. IP67
- stupanj zaštite od udara IK07
- radna temperatura okoliša -30°C do 50°C
- svjetiljka posjeduje CE, RoHS certifikate
- svjetiljka u kompletu s montažnim setom i vizirom za kontrolu blještavila 
- jamstvo u trajanju od min. 5 godina</t>
  </si>
  <si>
    <r>
      <t>Oznaka svjetiljke u projektu</t>
    </r>
    <r>
      <rPr>
        <b/>
        <sz val="10"/>
        <rFont val="Calibri"/>
        <family val="2"/>
      </rPr>
      <t xml:space="preserve"> V9.</t>
    </r>
  </si>
  <si>
    <t>Dobava, ugradnja i spajanje rasvjetnog tijela:
- zidna nadgradna svjetiljka za ugradnju na zid
- kućište izrađeno od ljevanog aluminija i stakla
- svjetiljka u grafitnoj boji
- svjetiljka sa zaštitnim bijelim staklom
- dimenzije svjetiljke max. š85 x d280 v130mm
- masa svjetiljke min. 2,4kg
- direktna simetrična distribucija svjetlosti</t>
  </si>
  <si>
    <t xml:space="preserve"> - ukupna snaga sistema max. 9,7W  
- boja svjetlosti temperature 3000K
- svjetlosni tok svjetiljke min. 822lm
- svjetlosni tok LED modula min. 1570lm
- efikasnost svjetiljke min. 85lm/W
- klasa zaštite I
- indeks uzvrata boje &gt;80
- životni vijek LED izvora min. L80/B50 &gt; 170000h
- napajanje 220-240V - 50/60 Hz
- stupanj zaštite od čestica i vlage min. IP65
- stupanj zaštite od udara IK03
- svjetiljka posjeduje CE, ENEC certifikate
- svjetiljka u kompletu s montažnim kutijom za ugradnju u zid
- jamstvo u trajanju od min. 5 godina</t>
  </si>
  <si>
    <r>
      <t>Oznaka svjetiljke u projektu</t>
    </r>
    <r>
      <rPr>
        <b/>
        <sz val="10"/>
        <rFont val="Calibri"/>
        <family val="2"/>
      </rPr>
      <t xml:space="preserve"> V10.</t>
    </r>
  </si>
  <si>
    <t xml:space="preserve">Dobava, ugradnja i spajanje rasvjetnog tijela:
- nadgradni silikonski LED profil
- LED profil dimenzija u presjeku max. š16 x v16mm </t>
  </si>
  <si>
    <t xml:space="preserve"> - izvor svjetlosti je integrirani LED snage min. 10W/m'
- toplo bijela boja svjetlosti temperature 2700K
- svjetlosni tok min. 900lm/m'
- napajanje pali/gasi 230VAC/24VDC je odvojeno
- stupanj zaštite od čestica i vlage min. IP67
- svjetiljka u kompletu s montažnim setom
- jamstvo u trajanju od min. 5 godina</t>
  </si>
  <si>
    <t>Dobava, ugradnja i spajanje predspojnog uređaja:
- dimenzije predspojnog uređaja max. š63 x d171 v37,5mm 
- razvodna kutija za smještaj uređaja sa uvodnicama za kabele, odgovarajuće IP zaštite i nosačem za vanjsku ugradnju</t>
  </si>
  <si>
    <t xml:space="preserve"> - 90W 
- 230V/24VDC 
- DALI
- IP67
- uređaj posjeduje CE certifikat</t>
  </si>
  <si>
    <r>
      <t>Oznaka svjetiljke u projektu</t>
    </r>
    <r>
      <rPr>
        <b/>
        <sz val="10"/>
        <rFont val="Calibri"/>
        <family val="2"/>
      </rPr>
      <t xml:space="preserve"> D1.</t>
    </r>
  </si>
  <si>
    <t>protupanična rasvjeta</t>
  </si>
  <si>
    <t>Dobava, ugradnja i spajanje sigurnosnog rasvjetnog tijela za označavanje smjera kretanja i osvjetljenje evakuacijskih i antipaničnih površina, s modulom za bežični nadzor svjetiljke, piktogramski set spada u dodatni pribor, sve prema HRN EN 1838  ili jednakovrijedno __________, HRN EN 60598-1  ili jednakovrijedno __________, HRN EN 60598-2-22  ili jednakovrijedno __________, oznake u projektu P1.</t>
  </si>
  <si>
    <t>- tehnologija izvora svjetlosti: LED</t>
  </si>
  <si>
    <t>- autonomija: min. 3 sata</t>
  </si>
  <si>
    <t>- način rada: pripravni/trajni spoj</t>
  </si>
  <si>
    <t>- maksimalna snaga: max. 3,5 W</t>
  </si>
  <si>
    <t>- stupanj električne zaštite: min. II</t>
  </si>
  <si>
    <t>- stupanj IP zaštite: min. IP40</t>
  </si>
  <si>
    <t>- način ugradnje: zidno nagradno</t>
  </si>
  <si>
    <t>- udaljenost prepoznavanja piktograma: min. 15m</t>
  </si>
  <si>
    <t>- autotest funkcija</t>
  </si>
  <si>
    <t>- dimenzije: 193x120x55mm (ŠxVxD)</t>
  </si>
  <si>
    <t>- kućište od lijevanog cinka u RAL 9003</t>
  </si>
  <si>
    <t>- radna temperatura: od -5 do +40°C</t>
  </si>
  <si>
    <t>- baterija: LiFePO4 6,4 V</t>
  </si>
  <si>
    <t>- otpornost na udar: min. IK03</t>
  </si>
  <si>
    <t>P1</t>
  </si>
  <si>
    <t>Dobava, ugradnja i spajanje sigurnosnog rasvjetnog tijela za označavanje smjera kretanja, s modulom za bežični nadzor svjetiljke, s uključenim piktogramskim setom, sve prema HRN EN 1838  ili jednakovrijedno __________, HRN EN 60598-1  ili jednakovrijedno __________, HRN EN 60598-2-22  ili jednakovrijedno __________, oznake u projektu P1a.</t>
  </si>
  <si>
    <t>- maksimalna snaga: max. 4.2W</t>
  </si>
  <si>
    <t>- stupanj IP zaštite: min. IP65</t>
  </si>
  <si>
    <t>- način ugradnje: stropno / zidno nagradno</t>
  </si>
  <si>
    <t>- udaljenost prepoznavanja piktograma: min. 22m</t>
  </si>
  <si>
    <t>- svjetlosni tok u baterijskom režimu rada: min. 190lm</t>
  </si>
  <si>
    <t>- dimenzije: 326x50x50mm (ŠxVxD)</t>
  </si>
  <si>
    <t>- kućište od polikarbonata u RAL 9003</t>
  </si>
  <si>
    <t>- otpornost na udar: min. IK05</t>
  </si>
  <si>
    <t>P1a</t>
  </si>
  <si>
    <t>Dobava, montaža i spajanje pribora za rasvjetno tijelo oznake P1a.</t>
  </si>
  <si>
    <t>-</t>
  </si>
  <si>
    <t>- piktogramski panel E=22m</t>
  </si>
  <si>
    <r>
      <rPr>
        <b/>
        <sz val="10"/>
        <rFont val="Calibri"/>
        <family val="2"/>
      </rPr>
      <t>P1a</t>
    </r>
    <r>
      <rPr>
        <sz val="10"/>
        <rFont val="Calibri"/>
        <family val="2"/>
      </rPr>
      <t xml:space="preserve"> pribor</t>
    </r>
  </si>
  <si>
    <t>Dobava, ugradnja i spajanje sigurnosnog rasvjetnog tijela za označavanje smjera kretanja, s modulom za bežični nadzor svjetiljke, s uključenim piktogramskim setom, sve prema HRN EN 1838  ili jednakovrijedno __________, HRN EN 60598-1 ili jednakovrijedno __________, HRN EN 60598-2-22  ili jednakovrijedno __________, oznake u projektu P1b.</t>
  </si>
  <si>
    <t>- stupanj IP zaštite: min. IP20</t>
  </si>
  <si>
    <t>- način ugradnje: stropno ugradno</t>
  </si>
  <si>
    <t>- dimenzije: 167x159x92mm (ŠxVxD)</t>
  </si>
  <si>
    <t>P1b</t>
  </si>
  <si>
    <t>Dobava, ugradnja i spajanje sigurnosnog rasvjetnog tijela za označavanje smjera kretanja, s modulom za bežični nadzor svjetiljke, s uključenim piktogramskim setom, sve prema HRN EN 1838  ili jednakovrijedno __________, HRN EN 60598-1  ili jednakovrijedno __________, HRN EN 60598-2-22  ili jednakovrijedno __________, oznake u projektu P1d.</t>
  </si>
  <si>
    <t>- maksimalna snaga: max. 4,2W</t>
  </si>
  <si>
    <t>- način ugradnje: stropno nadgradno</t>
  </si>
  <si>
    <t>- dimenzije: 236x186x80mm (ŠxVxD)</t>
  </si>
  <si>
    <t>P1d</t>
  </si>
  <si>
    <t>Dobava, ugradnja i spajanje sigurnosnog rasvjetnog tijela za označavanje smjera kretanja i osvjetljenje evakuacijskih i antipaničnih površina, s modulom za bežični nadzor svjetiljke, piktogramski set spada u dodatni pribor, sve prema HRN EN 1838 ili jednakovrijedno __________, HRN EN 60598-1 ili jednakovrijedno __________, HRN EN 60598-2-22 ili jednakovrijedno __________ oznake u projektu P31.</t>
  </si>
  <si>
    <t>P31</t>
  </si>
  <si>
    <t>Dobava, ugradnja i spajanje sigurnosnog rasvjetnog tijela za označavanje smjera kretanja, s modulom za bežični nadzor svjetiljke, s uključenim piktogramskim setom, sve prema HRN EN 1838  ili jednakovrijedno __________, HRN EN 60598-1  ili jednakovrijedno __________, HRN EN 60598-2-22  ili jednakovrijedno __________, oznake u projektu P31a.</t>
  </si>
  <si>
    <t>P31a</t>
  </si>
  <si>
    <t>Dobava, montaža i spajanje pribora za rasvjetno tijelo oznake P31a.</t>
  </si>
  <si>
    <r>
      <rPr>
        <b/>
        <sz val="10"/>
        <rFont val="Calibri"/>
        <family val="2"/>
      </rPr>
      <t>P31a</t>
    </r>
    <r>
      <rPr>
        <sz val="10"/>
        <rFont val="Calibri"/>
        <family val="2"/>
      </rPr>
      <t xml:space="preserve"> pribor</t>
    </r>
  </si>
  <si>
    <t>Dobava, ugradnja i spajanje sigurnosnog rasvjetnog tijela za označavanje smjera kretanja i osvjetljenje evakuacijskih i antipaničnih površina, s modulom za bežični nadzor svjetiljke, sve prema HRN EN 1838  ili jednakovrijedno __________, HRN EN 60598-1  ili jednakovrijedno __________, HRN EN 60598-2-22  ili jednakovrijedno __________, oznake u projektu P31b.</t>
  </si>
  <si>
    <t>P31b</t>
  </si>
  <si>
    <t>Dobava, ugradnja i spajanje sigurnosnog rasvjetnog tijela za označavanje smjera kretanja i osvjetljenje evakuacijskih i antipaničnih površina, s modulom za bežični nadzor svjetiljke, sve prema HRN EN 1838  ili jednakovrijedno __________, HRN EN 60598-1  ili jednakovrijedno __________, HRN EN 60598-2-22  ili jednakovrijedno __________, oznake u projektu P31c:</t>
  </si>
  <si>
    <t>- način ugradnje: stropna ovjesna, mikropodesivi ovjes do min. 1,5m</t>
  </si>
  <si>
    <t>- dimenzije: 236x195x80 mm (ŠxVxD)</t>
  </si>
  <si>
    <t>P31c</t>
  </si>
  <si>
    <t>Dobava, ugradnja i spajanje sigurnosnog rasvjetnog tijela za osvjetljenje antipaničnih i evakuacijskih površina, sa promjenjivom optikom, s modulom za bežični nadzor svjetiljke, sve prema HRN EN 1838  ili jednakovrijedno __________, HRN EN 60598-1  ili jednakovrijedno __________, HRN EN 60598-2-22  ili jednakovrijedno __________, oznake u projektu P6:</t>
  </si>
  <si>
    <t>- svjetlosni tok u baterijskom režimu rada: min. 260lm</t>
  </si>
  <si>
    <t>- optika: koridor</t>
  </si>
  <si>
    <t>P6</t>
  </si>
  <si>
    <t>Dobava, ugradnja i spajanje sigurnosnog rasvjetnog tijela za osvjetljenje antipaničnih i evakuacijskih površina, sa promjenjivom optikom, s modulom za bežični nadzor svjetiljke, sve prema HRN EN 1838  ili jednakovrijedno __________, HRN EN 60598-1  ili jednakovrijedno __________, HRN EN 60598-2-22  ili jednakovrijedno __________, oznake u projektu P6a:</t>
  </si>
  <si>
    <t>P6a</t>
  </si>
  <si>
    <t>Dobava, montaža i spajanje pribora za rasvjetno tijelo oznake u projektu P6a.</t>
  </si>
  <si>
    <t>- pribor za montažu u strop</t>
  </si>
  <si>
    <r>
      <rPr>
        <b/>
        <sz val="10"/>
        <rFont val="Calibri"/>
        <family val="2"/>
      </rPr>
      <t>P6a</t>
    </r>
    <r>
      <rPr>
        <sz val="10"/>
        <rFont val="Calibri"/>
        <family val="2"/>
      </rPr>
      <t xml:space="preserve"> pribor</t>
    </r>
  </si>
  <si>
    <t>Dobava, ugradnja i spajanje sigurnosnog rasvjetnog tijela za osvjetljenje antipaničnih i evakuacijskih površina, sa promjenjivom optikom, s modulom za bežični nadzor svjetiljke, sve prema HRN EN 1838  ili jednakovrijedno __________, HRN EN 60598-1  ili jednakovrijedno __________, HRN EN 60598-2-22  ili jednakovrijedno __________, oznake u projektu P6b:</t>
  </si>
  <si>
    <t>- maksimalna snaga: max. 7.3W</t>
  </si>
  <si>
    <t>- svjetlosni tok u baterijskom režimu rada: min. 520lm</t>
  </si>
  <si>
    <t>- dimenzije: 390x99x86mm (ŠxVxD)</t>
  </si>
  <si>
    <t>- radna temperatura: od -15 do +40°C</t>
  </si>
  <si>
    <t>- baterija: LiFePO4 3,2 V/</t>
  </si>
  <si>
    <t>- otpornost na udar: min. IK06</t>
  </si>
  <si>
    <t>P6b</t>
  </si>
  <si>
    <t>Dobava, ugradnja i spajanje sigurnosnog rasvjetnog tijela za osvjetljenje antipaničnih i evakuacijskih površina, sa promjenjivom optikom, s modulom za bežični nadzor svjetiljke, sve prema HRN EN 1838  ili jednakovrijedno __________, HRN EN 60598-1  ili jednakovrijedno __________, HRN EN 60598-2-22  ili jednakovrijedno __________, oznake u projektu P12:</t>
  </si>
  <si>
    <t>- maksimalna snaga: max. 3W</t>
  </si>
  <si>
    <t>- stupanj električne zaštite: II</t>
  </si>
  <si>
    <t>- način ugradnje: stropna ugradna</t>
  </si>
  <si>
    <t>- svjetlosni tok u baterijskom režimu rada: min. 250lm</t>
  </si>
  <si>
    <t>- optika: simetrična</t>
  </si>
  <si>
    <t>- dimenzije: Φ=122mm h=84mm</t>
  </si>
  <si>
    <t xml:space="preserve">- radna temperatura: od -5 do +40°C </t>
  </si>
  <si>
    <t>- baterija: 3,2V/3,3Ah LiFePO4</t>
  </si>
  <si>
    <t>P12</t>
  </si>
  <si>
    <t>Dobava, ugradnja i spajanje sigurnosnog rasvjetnog tijela za osvjetljenje antipaničnih i evakuacijskih površina, sa promjenjivom optikom, s modulom za bežični nadzor svjetiljke, sve prema HRN EN 1838  ili jednakovrijedno __________, HRN EN 60598-1  ili jednakovrijedno __________, HRN EN 60598-2-22  ili jednakovrijedno __________, oznake u projektu P14:</t>
  </si>
  <si>
    <t>P14</t>
  </si>
  <si>
    <t>Dobava, ugradnja i spajanje sigurnosnog rasvjetnog tijela za osvjetljenje antipaničnih i evakuacijskih površina, sa promjenjivom optikom, s modulom za bežični nadzor svjetiljke, sve prema HRN EN 1838  ili jednakovrijedno __________, HRN EN 60598-1  ili jednakovrijedno __________, HRN EN 60598-2-22  ili jednakovrijedno __________, oznake u projektu P14a:</t>
  </si>
  <si>
    <t>- optika: asimetrična</t>
  </si>
  <si>
    <t>P14a</t>
  </si>
  <si>
    <t>Dobava, montaža i spajanje pribora za rasvjetno tijelo oznake u projektu P14a.</t>
  </si>
  <si>
    <t>- set leća s asimetričnom optikom
 (1kpl / 12kom)</t>
  </si>
  <si>
    <r>
      <rPr>
        <b/>
        <sz val="10"/>
        <rFont val="Calibri"/>
        <family val="2"/>
      </rPr>
      <t>P14a</t>
    </r>
    <r>
      <rPr>
        <sz val="10"/>
        <rFont val="Calibri"/>
        <family val="2"/>
      </rPr>
      <t xml:space="preserve"> pribor</t>
    </r>
  </si>
  <si>
    <t>Dobava, ugradnja i spajanje sigurnosnog rasvjetnog tijela za osvjetljenje antipaničnih i evakuacijskih površina, sa promjenjivom optikom, s modulom za bežični nadzor svjetiljke, sve prema HRN EN 1838  ili jednakovrijedno __________, HRN EN 60598-1  ili jednakovrijedno __________, HRN EN 60598-2-22  ili jednakovrijedno __________, oznake u projektu P13:</t>
  </si>
  <si>
    <t>- način ugradnje: stropna nadgradna</t>
  </si>
  <si>
    <t>- dimenzije: Φ=100mm h=36mm</t>
  </si>
  <si>
    <t>P13</t>
  </si>
  <si>
    <t>Dobava, ugradnja i spajanje sigurnosnog rasvjetnog tijela za osvjetljenje antipaničnih i evakuacijskih površina, sa promjenjivom optikom, s modulom za bežični nadzor svjetiljke, sve prema HRN EN 1838  ili jednakovrijedno __________, HRN EN 60598-1  ili jednakovrijedno __________, HRN EN 60598-2-22  ili jednakovrijedno __________, oznake u projektu P13a:</t>
  </si>
  <si>
    <t>- optika: uskosnopna</t>
  </si>
  <si>
    <t>P13a</t>
  </si>
  <si>
    <t>Dobava, montaža i spajanje pribora za rasvjetno tijelo oznake u projektu P13a.</t>
  </si>
  <si>
    <r>
      <rPr>
        <b/>
        <sz val="10"/>
        <rFont val="Calibri"/>
        <family val="2"/>
      </rPr>
      <t>P13a</t>
    </r>
    <r>
      <rPr>
        <sz val="10"/>
        <rFont val="Calibri"/>
        <family val="2"/>
      </rPr>
      <t xml:space="preserve"> pribor</t>
    </r>
  </si>
  <si>
    <t>Dobava, ugradnja i spajanje sigurnosnog rasvjetnog tijela za osvjetljenje antipaničnih i evakuacijskih površina, sa promjenjivom optikom, s modulom za bežični nadzor svjetiljke, sve prema HRN EN 1838  ili jednakovrijedno __________, HRN EN 60598-1  ili jednakovrijedno __________, HRN EN 60598-2-22  ili jednakovrijedno __________, oznake u projektu P15:</t>
  </si>
  <si>
    <t>P15</t>
  </si>
  <si>
    <t>Dobava, ugradnja i spajanje sigurnosnog rasvjetnog tijela za osvjetljenje antipaničnih i evakuacijskih površina, sa promjenjivom optikom, s modulom za bežični nadzor svjetiljke, sve prema HRN EN 1838  ili jednakovrijedno __________, HRN EN 60598-1  ili jednakovrijedno __________, HRN EN 60598-2-22  ili jednakovrijedno __________, oznake u projektu P15a:</t>
  </si>
  <si>
    <t>P15a</t>
  </si>
  <si>
    <t>Dobava, montaža i spajanje pribora za rasvjetno tijelo oznake u projektu P15a.</t>
  </si>
  <si>
    <t>- set leća s asimetričnom optikom
 (1kpl / 4kom)</t>
  </si>
  <si>
    <r>
      <rPr>
        <b/>
        <sz val="10"/>
        <rFont val="Calibri"/>
        <family val="2"/>
      </rPr>
      <t>P15a</t>
    </r>
    <r>
      <rPr>
        <sz val="10"/>
        <rFont val="Calibri"/>
        <family val="2"/>
      </rPr>
      <t xml:space="preserve"> pribor</t>
    </r>
  </si>
  <si>
    <t>elementi za upravljanje rasvjetom</t>
  </si>
  <si>
    <t>- podržava do min. 64 DALI uređaja</t>
  </si>
  <si>
    <t>- programibilni uređaji do min. 128 scena</t>
  </si>
  <si>
    <t>- integrirano DALI napajanje min. 250mA</t>
  </si>
  <si>
    <t>- 10/100 Mbit/s Eternet spajanje korištenjem Internet TCP/IP protokola</t>
  </si>
  <si>
    <t>- podržava OPC za spajanje na BMS</t>
  </si>
  <si>
    <t>- podržava Eternet I/O komunikaciju</t>
  </si>
  <si>
    <t>- podržava DALI uređaje sigurnosne rasvjete</t>
  </si>
  <si>
    <t>- do min. 100 rutera u jednom klasteru</t>
  </si>
  <si>
    <t>- do min. 12.800 DALI uređaja u jednom klasteru</t>
  </si>
  <si>
    <t>- do min. 16.000 DALI grupa u jednom klasteru</t>
  </si>
  <si>
    <t>- napajanje: 85-264 VAC, 45 Hz-65Hz</t>
  </si>
  <si>
    <t>- vanjska MCB zaštita: 6A</t>
  </si>
  <si>
    <t>- snaga u pripremnom modu: max. 2.5W</t>
  </si>
  <si>
    <t>- maksimalni ukupni gubici: 4.2W</t>
  </si>
  <si>
    <t>- DALI napajanje: min. 1x250 mA</t>
  </si>
  <si>
    <t>- temperatura: 0…40°C</t>
  </si>
  <si>
    <t>- relativna vlažnost: 90% max, bez kondenzacije</t>
  </si>
  <si>
    <t>- temperatura skladištenja: -10…70°C</t>
  </si>
  <si>
    <t>- IP zaštita: min. 30 (osim konektora)</t>
  </si>
  <si>
    <t>- podržava do min. 128 DALI uređaja</t>
  </si>
  <si>
    <t>- integrirano DALI napajanje min. 250mA za svaku DALI podmrežu</t>
  </si>
  <si>
    <t>- DALI ožičenje do min. 300 m upotrebom standardnog 230V dvožilnog kabela 1.5mm2</t>
  </si>
  <si>
    <t>- maksimalni ukupni gubici: max. 4.2W</t>
  </si>
  <si>
    <t>- DALI napajanje: min. 2x250 mA</t>
  </si>
  <si>
    <t>Dobava, montaža i instalacija DALI uređaja, usklađen s normama HR EN 55015, HR EN 61547, HR EN 55024, te WEEE i RoHS direktivama, atestiran u Hrvatskoj, sa sljedećim karakteristikama:</t>
  </si>
  <si>
    <t>- podržava do min. 512 DALI uređaja; 128 po DALI liniji - 64 uređaja po DALI protokolu i 63 uređaja po DALI 2 protokolu</t>
  </si>
  <si>
    <t>- ugrađen LCD ekran za testiranje mreže i prikaz greške (320x240px)</t>
  </si>
  <si>
    <t>- napajanje: 198-264 VAC, 45 Hz-65Hz</t>
  </si>
  <si>
    <t>- snaga u punom opterečenju: max. 35W</t>
  </si>
  <si>
    <t>- DALI napajanje: min. 4x250 mA</t>
  </si>
  <si>
    <t>- IP zaštita: min. 20 (osim konektora)</t>
  </si>
  <si>
    <t>Dobava, montaža i instalacija 4-kanalnog DALI /1-10V/DSI/PWM konvertera, usklađen s normama HR EN 55015, HR EN 61547, HR EN 60950-1, HR EN 61000-6 te WEEE i RoHS direktivama, atestiran u Hrvatskoj, sa sljedećim karakteristikama:</t>
  </si>
  <si>
    <t>- min. 4 relejna izlaza</t>
  </si>
  <si>
    <t>- LED displej sa tipkama za ručno podešavanje</t>
  </si>
  <si>
    <t>- min. 4 konverter ulaza za DALI,S-DIM i DMX</t>
  </si>
  <si>
    <t>- 0-10V/DSI/PWM i relejni izlazi</t>
  </si>
  <si>
    <t>- napajanje: 85-264 VAC, 45-65 Hz</t>
  </si>
  <si>
    <t xml:space="preserve">- maksimalan broj prigušnica po kanalu: min. 50x1-10V/DALI/DSI/PWM </t>
  </si>
  <si>
    <t>- maksimalno opterećenje po releju: min. 16A (izvori svjetlosti sa žarnom niti), 10A metalhalogeni izvori svjetlosti</t>
  </si>
  <si>
    <t>- snaga u pripremnom modu: max. 2.4W</t>
  </si>
  <si>
    <t>- ukupni gubici: max. 13W</t>
  </si>
  <si>
    <t>- DALI potrošnja: max. 2mA</t>
  </si>
  <si>
    <t>- izolacija: 4kV</t>
  </si>
  <si>
    <t>- broj DALI adresa: min. 4 do 8 ovisno o relejnoj konfiguraciji</t>
  </si>
  <si>
    <t>- podržava do min. 512 DALI uređaja</t>
  </si>
  <si>
    <t>- nezavisno programiranje min. 8 DALI podmreža</t>
  </si>
  <si>
    <t>- DALI/S-DIM/DMX kontrolni ulazi</t>
  </si>
  <si>
    <t>- automatsko dodjeljivanje adresa uređajima svake DALI podmreže</t>
  </si>
  <si>
    <t>- prijava greške uređaja za svaku DALI podmrežu</t>
  </si>
  <si>
    <t>- displej sa tipkama za ručno upravljanje</t>
  </si>
  <si>
    <t>- maksimalni ukupni gubici: max. 7W</t>
  </si>
  <si>
    <t>- DALI napajanje: min. 8x125 mA</t>
  </si>
  <si>
    <t>Dobava, montaža i instalacija jednokanalne relejne jedinice, usklađen s normama HR EN 55015, HR EN 61547, HR EN 60950-1, HR EN 61000-6 te WEEE i RoHS direktivama, atestiran u Hrvatskoj, sa sljedećim karakteristikama:</t>
  </si>
  <si>
    <t>- montaža u rasvjetno tijelo ili u razvodni ormar</t>
  </si>
  <si>
    <t>- uklopna sposobnost i do min. 16A</t>
  </si>
  <si>
    <t>- broj DALI adresa: max. 1</t>
  </si>
  <si>
    <t>- IP zaštita: min. 30</t>
  </si>
  <si>
    <t>Dobava, montaža i instalacija DALI  4 - kanalne relejne jedinice, usklađen s normama HR EN 55015, HR EN 61547, HR EN 60950, te WEEE i RoHS direktivama, atestiran u Hrvatskoj, sa sljedećim karakteristikama:</t>
  </si>
  <si>
    <t>- LED indikator</t>
  </si>
  <si>
    <t>- izolirani releji, normalno otvoreni (beznaponski)</t>
  </si>
  <si>
    <t>- napajanje: 220-260 VAC, 50 Hz-60Hz</t>
  </si>
  <si>
    <t>- snaga u pripremnom modu: max. 1.3W</t>
  </si>
  <si>
    <t>- maksimalni ukupni gubici: max. 5.6W</t>
  </si>
  <si>
    <t>- opterećenje: min. 10A resistive; 8A incadescent; 5A inductive; 15 EL-s/TCs prigušnica</t>
  </si>
  <si>
    <t>Dobava, montaža i instalacija DALI 8-kanalne relejne jedinice, usklađen s normama HR EN 55015, HR EN 61547, HR EN 60950, te WEEE i RoHS direktivama, atestirana u Hrvatskoj, sa sljedećim karakteristikama:</t>
  </si>
  <si>
    <t>- LED displej i tasteri</t>
  </si>
  <si>
    <t>- "high inrush" releji</t>
  </si>
  <si>
    <t>- "override" ulaz</t>
  </si>
  <si>
    <t>- vanjska MCB zaštita: 3A</t>
  </si>
  <si>
    <t>- opterećenje releja: min. 16A</t>
  </si>
  <si>
    <t>- snaga u pripremnom modu: max. 1.1W</t>
  </si>
  <si>
    <t>- maksimalni ukupni gubici: max. 6.9W</t>
  </si>
  <si>
    <t>Dobava, montaža i instalacija DALI modularnog upravljačkog panela, usklađen s normama HR EN 61000, HR EN 61547, HR EN 60669, te WEEE i RoHS direktivama, atestiran u Hrvatskoj, sa sljedećim karakteristikama:</t>
  </si>
  <si>
    <t>- LED indikator i IR prijemnik</t>
  </si>
  <si>
    <t>- "out of box" operabilnost</t>
  </si>
  <si>
    <t>- ugradnja u DIN standardne ugradne kutije</t>
  </si>
  <si>
    <t>- ugradnja do 3 modula u duple ugradne kutije</t>
  </si>
  <si>
    <t>- DIGIDIM/DALI</t>
  </si>
  <si>
    <t>- min. 7 scena, off</t>
  </si>
  <si>
    <t>- DALI napajanje: 13 - 22.5 V</t>
  </si>
  <si>
    <t>- DALI potrošnja: max. 10mA</t>
  </si>
  <si>
    <t>- temperatura: 10…35°C</t>
  </si>
  <si>
    <t>Dobava, montaža i instalacija DALI Repeater-a, usklađen s normama HR EN 61000, HR EN 61547, HR EN 60669, te WEEE i RoHS direktivama, atestiran u Hrvatskoj, sa sljedećim karakteristikama:</t>
  </si>
  <si>
    <t>- produžuje maksimalnu duljinu DALI linije sa 300 na min. 600 metara</t>
  </si>
  <si>
    <t>- omogućuje dodatnih min. 250 mA DALI napajanja</t>
  </si>
  <si>
    <t>- postojeća DALI mreža spaja se na DALI-IN stranu, produžetak mreže spaja se na DALI-OUT stranu</t>
  </si>
  <si>
    <t>- DALI ožičenje: 0.5-1.5mm2</t>
  </si>
  <si>
    <t>- napajanje: 85-264 VAC, 48 Hz-62Hz</t>
  </si>
  <si>
    <t>- zaštita strujnog kruga: MCB 6A maksimalno</t>
  </si>
  <si>
    <t>- DALI napajanje: min. 250 mA</t>
  </si>
  <si>
    <t>- temperatura: -20°C - +50°C</t>
  </si>
  <si>
    <t>- IP zaštita: min. IP20</t>
  </si>
  <si>
    <t>- DALI prijenos podataka: DALI standard IEC 62386:101 2014</t>
  </si>
  <si>
    <t>Dobava, montaža i instalacija mini-ulazne jedinice za spajanje senzora i/ili tipkala u DALI sustavu, usklađen s normama HR EN 61000-6-3, HR EN 55015, HR EN 61547, HR EN 60950-1, te WEEE i RoHS direktivama, atestiran u Hrvatskoj, sa sljedećim karakteristikama:</t>
  </si>
  <si>
    <t>- 4 ulazna kontakta</t>
  </si>
  <si>
    <t>- smješta se unutar kučišta senzora ili tipkala</t>
  </si>
  <si>
    <t>- DALI/DIGIDIM</t>
  </si>
  <si>
    <t xml:space="preserve">- DALI potrošnja: max. 10mA </t>
  </si>
  <si>
    <t xml:space="preserve">- zaštita od preopterećenja: min. 7V </t>
  </si>
  <si>
    <t>- struja kratkog spoja: max. 0.5mA</t>
  </si>
  <si>
    <t>- relativna vlažnost: 95% max, bez kondenzacije</t>
  </si>
  <si>
    <t>- IP zaštita: min. 40</t>
  </si>
  <si>
    <t>Dobava, montaža i instalacija DALI senzora prisutnosti, usklađen s normama  HR EN 55015, HR EN 61547, HR EN 61347-2-11, te WEEE i RoHS direktivama, atestiran u Hrvatskoj, sa sljedećim karakteristikama:</t>
  </si>
  <si>
    <t>- površina detekcije: min. 8m x 6m (2.5m)</t>
  </si>
  <si>
    <t>- demontažni konektor: 0.5mm2 - 1.5mm2</t>
  </si>
  <si>
    <t>- način ugradnje: strop ugradno/nadgradno</t>
  </si>
  <si>
    <t>- DALI potrošnja: max. 10 mA</t>
  </si>
  <si>
    <t>- radna temperatura: 0-50°C</t>
  </si>
  <si>
    <t>- maksimalna preporučena visina montaže: 4m</t>
  </si>
  <si>
    <t>- materijal: vatrootporni PC/ABS</t>
  </si>
  <si>
    <t>Dobava, montaža i instalacija DALI senzora svjetlosti, usklađen s normama HR EN 61000-6-3, HR EN 55015, HR EN 61547, HR EN 60950-1, HR EN 61347-1, HE EN 61347-2-11, te WEEE i RoHS direktivama, atestiran u Hrvatskoj, sa sljedećim karakteristikama:</t>
  </si>
  <si>
    <t>- senzor dnevnog svjetla</t>
  </si>
  <si>
    <t>- opcionalni dodatni ulaz lokalnog napajanja</t>
  </si>
  <si>
    <t>- zidna montaža</t>
  </si>
  <si>
    <t>- "open loop" upravljanje</t>
  </si>
  <si>
    <t>- temperatura: -35…70°C</t>
  </si>
  <si>
    <t>- temperatura skladištenja: -35…70°C</t>
  </si>
  <si>
    <t>- IP zaštita: min. 65</t>
  </si>
  <si>
    <t>- područje rada od min. 1 - 100000lx</t>
  </si>
  <si>
    <t>- min. 7" display</t>
  </si>
  <si>
    <t>- rezolucija min. 1024x600</t>
  </si>
  <si>
    <t>- svjetlina min. 350 cd/m2</t>
  </si>
  <si>
    <t>- napon napajanja 9VDC-24VDC</t>
  </si>
  <si>
    <t>- potrošnja max. 6W</t>
  </si>
  <si>
    <t>- LAN: min. 10/100 Mbs</t>
  </si>
  <si>
    <t>- Wi-Fi: 802.11 b/g/n</t>
  </si>
  <si>
    <t>- USB_ USB 2.0</t>
  </si>
  <si>
    <t>- Bluetooth: V2.1 + EDR/BT v3.0/BT v3.0 + HS/BT v4.0</t>
  </si>
  <si>
    <t>- dimenzije: 181.5 x 121.5 x 25.8 mm</t>
  </si>
  <si>
    <t>- montaža: ugradno</t>
  </si>
  <si>
    <t>- stupanj zaštite: min. IP40</t>
  </si>
  <si>
    <t>Dobava, montaža i instalacija AV sučelja, usklađen s normama HR EN 61000-6-3, HR EN 55015, HR EN 61547, HR EN 60950-1, te WEEE i RoHS direktivama, atestiran u Hrvatskoj, sa sljedećim karakteristikama:</t>
  </si>
  <si>
    <t>- izolacija od max. 4kV između DALI i RS232 priključka</t>
  </si>
  <si>
    <t>- prihvatni terminal za ožićenje</t>
  </si>
  <si>
    <t xml:space="preserve">- DALI potrošnja: max. 15mA </t>
  </si>
  <si>
    <t>1 x stezaljka, ulazni napon 12VDC-48VDC</t>
  </si>
  <si>
    <t>- mogućnost montaže u ormar na DIN šinu</t>
  </si>
  <si>
    <t>Ulazni napon 85-264VAC ili 120-370VDC</t>
  </si>
  <si>
    <t>Izlazni napon 24VDC</t>
  </si>
  <si>
    <t>Izlazna snaga min. 36W</t>
  </si>
  <si>
    <t>ELEKTROINSTALACIJE</t>
  </si>
  <si>
    <t>RAZDJELNIK, +01R1 (PMO/GRO)
Dobava montaža i spajanje samostojećeg modularnog niskonaponskog sklopnog bloka prema jednopolnoj shemi:</t>
  </si>
  <si>
    <t>Dobava montaža i spajanje samostojećeg modularnog niskonaponskog razvodnog ormara  oznake +01R1, tip kao:  atestiranog u skladu sa standardom IEC 61439-1/-2, nazivne struje do 630 A, nazivnog napona izolacije do 690 V, vršne vrijednosti kratkog spoja Ipk=76 kA, stupnja zaštite IP55, zaštićen sa polimer epoxy zaštitom u boji RAL 7035, sa punim vratima, sastavljen od dva aparatnog  polja,  ukupnih dimenzija 1950x(550+800)x320 mm (VxŠxD). Razdjelnik opremiti bravicama na vratima, nosačem za dokumentaciju, nosačima i pokrovnim pločama komponenata, stranicama,krovom i ostalim potrebnim mehaničkim priborom tip kao: * ALPHA 630 DIN . U razdjelnik ugraditi sljedeću opremu prema jednopolnoj shemi: - kom - 1</t>
  </si>
  <si>
    <t>polje HEP ODS d.o.o.</t>
  </si>
  <si>
    <t>vertikalna pruga sklopka-rastavljač do 400A
kom 2</t>
  </si>
  <si>
    <t>vertikalna pruga sklopka-rastavljač do 250A
kom 1</t>
  </si>
  <si>
    <t>osigurač za 400A/160A
kom 6</t>
  </si>
  <si>
    <t>osigurač za 250A/160A
kom 3</t>
  </si>
  <si>
    <t>katodni odvodnik prenapona u sve tri faze i N
kpl 1</t>
  </si>
  <si>
    <t>EZN podnožje do 63A
kom 3</t>
  </si>
  <si>
    <t>osigurač EZN 35A
kom 3</t>
  </si>
  <si>
    <t>EZN podnožje do 35A
kom 1</t>
  </si>
  <si>
    <t>osigurač EZN 6A
kom 1</t>
  </si>
  <si>
    <r>
      <t xml:space="preserve">ugradnja MTU uređaja
kom 1,
</t>
    </r>
    <r>
      <rPr>
        <b/>
        <sz val="10"/>
        <rFont val="Calibri"/>
        <family val="2"/>
      </rPr>
      <t>isporučuje HEP ODS</t>
    </r>
  </si>
  <si>
    <t>NE NUDITI</t>
  </si>
  <si>
    <r>
      <t xml:space="preserve">ugradnja strujnih mjernih transformatora
250/5A
kom 3, </t>
    </r>
    <r>
      <rPr>
        <b/>
        <sz val="10"/>
        <rFont val="Calibri"/>
        <family val="2"/>
      </rPr>
      <t>isporučuje HEP ODS</t>
    </r>
  </si>
  <si>
    <t>EZN podnožje do 35A
kom 3</t>
  </si>
  <si>
    <t>osigurač EZN 10A
kom 3</t>
  </si>
  <si>
    <r>
      <t xml:space="preserve">ugradnja poludirektnog mjernog mjesta
400V, 50Hz, 0-5A
kom 1, </t>
    </r>
    <r>
      <rPr>
        <b/>
        <sz val="10"/>
        <rFont val="Calibri"/>
        <family val="2"/>
      </rPr>
      <t>isporučuje HEP ODS</t>
    </r>
  </si>
  <si>
    <t>polje Korisnik</t>
  </si>
  <si>
    <t>Rastavna sklopka 3p, 63A, tip kao: 3LD34500TK11 * - kom - 1</t>
  </si>
  <si>
    <t>Patrone za NH osigurače vel.1, 125A tip kao: 3NA3132 * - kom - 3</t>
  </si>
  <si>
    <t>Patrone za NH osigurače vel.2, 160A tip kao: 3NA3136 *   - kom - 3</t>
  </si>
  <si>
    <t>Patrone za NH osigurače vel.2, 160A tip kao: 3NA3236 *   - kom - 6</t>
  </si>
  <si>
    <t>Patrone za NH osigurače vel.2, 200A tip kao: 3NA3242 *   - kom - 6</t>
  </si>
  <si>
    <t>Patrone za NH osigurače vel.000, 35A tip kao: 3NA3814 *   - kom - 3</t>
  </si>
  <si>
    <t>Patrone za NH osigurače vel.00 50A tip kao: 3NA3 820 * - kom - 15</t>
  </si>
  <si>
    <t>Patrone za NH osigurače vel.00 63A tip kao: 3NA3 822 *   - kom - 15</t>
  </si>
  <si>
    <t>Patrone za NH osigurače vel.00 80A tip kao: 3NA3 824 *   - kom - 3</t>
  </si>
  <si>
    <t>Patrone za NH osigurače vel.00 100A tip kao: 3NA3 830 *   - kom - 3</t>
  </si>
  <si>
    <t>Rastavljač pruga NH veličina 00 tip kao: 3NJ41033BF02 * - kom - 13</t>
  </si>
  <si>
    <t>Rastavljač pruga NH veličina 1 tip kao: 3NJ41233BF01 * - kom - 3</t>
  </si>
  <si>
    <t>Rastavljač pruga NH veličina 2 tip kao: 3NJ41333BF01 * - kom - 4</t>
  </si>
  <si>
    <t>Patrone  6A 10x38 tip kao: 3NW60011 *    - kom - 4</t>
  </si>
  <si>
    <t>Patrone 10A 10x38 tip kao: 3NW60031 *    - kom - 3</t>
  </si>
  <si>
    <t>Patrone 16A 10x38 tip kao: 3NW60051 *    - kom - 11</t>
  </si>
  <si>
    <t>Kućište za cilindrične rastalne osigurače, 1p, 10x38 , 50 kA tip kao: 3NW  * - kom - 11</t>
  </si>
  <si>
    <t>Kućište za cilindrične rastalne osigurače, 3p, 10x38 , 50 kA tip kao: 3NW  * - kom - 5</t>
  </si>
  <si>
    <t>tip kao:kalo crno, 1NO, tip kao: 3SU11000AB101BA0 * - kom - 1</t>
  </si>
  <si>
    <t>Gljivasto tip kao:kalo, crveno, deblokada zakretom, 40mm, 2NC, tip kao: 3SU11001HB201PA0 * - kom - 2</t>
  </si>
  <si>
    <t>Signalna lampica crvena, LED 230VAC tip kao: 3SU11066AA201AA0 * - kom - 3</t>
  </si>
  <si>
    <t>Signalna lampica zelena, LED 230VAC tip kao: 3SU11066AA401AA0 * - kom - 8</t>
  </si>
  <si>
    <t>Pomoćni kontakt 1NO za fi 22 elemente, tip kao: 3SU14001AA101BA0 * - kom - 2</t>
  </si>
  <si>
    <t>Kompaktni prekidač 3VA1, 3p, 25kA, 160A, tip kao: 3VA11163EE320AA0 * - kom - 1</t>
  </si>
  <si>
    <t>Kompaktni prekidač 3VA1, 3p, 25kA, 50A, tip kao: 3VA11503EE320AA0 * - kom - 1</t>
  </si>
  <si>
    <t>Kompaktni prekidač 3VA1, 3p, 36kA, 400A, tip kao: 3VA13404EF320AA0 * - kom - 1</t>
  </si>
  <si>
    <t>Isklopni svitak za 208....277 VAC, 220...250 VDC tip kao: 3VA99880BL33 * - kom - 3</t>
  </si>
  <si>
    <t>Energetski transformator 230/24 Vac, 50 W, tip kao: 4AM32424TN000ED0 * - kom - 1</t>
  </si>
  <si>
    <t>Strujni mjerni transformator kl 0.5, 250/5 A, tip kao: 4NC51232DE21 * - kom - 3</t>
  </si>
  <si>
    <t>Strujni mjerni transformator kl 0.5, 400/5 A, tip kao: 4NC52252DE21 * - kom - 4</t>
  </si>
  <si>
    <t>Katodni odvodnik prenapona 4p, 275V, za TNS sistem zaštite s indikacijom prorade tip kao: 5SD74641 *  - kom - 1</t>
  </si>
  <si>
    <t>FID sklopka 4p, 40A, 30mA tip kao: 5SV43440 * - kom - 2</t>
  </si>
  <si>
    <t>FID sklopka 2p, 16A, 30mA tip kao: 5SV46120 * - kom - 1</t>
  </si>
  <si>
    <t>Automatski prekidač 1p, C6A 10kA tip kao: 5SY41067 * - kom - 6</t>
  </si>
  <si>
    <t>Automatski prekidač 1p, C10A  10kA tip kao: 5SY41107 * - kom - 2</t>
  </si>
  <si>
    <t>Automatski prekidač 1p, C16A  10kA tip kao: 5SY41167 * - kom - 16</t>
  </si>
  <si>
    <t>Automatski prekidač 3p, C32A  10kA tip kao: 5SY43327 * - kom - 2</t>
  </si>
  <si>
    <t>Instalacijski sklopnik, 20A, 2NO, 230VAC tip kao: 5TT58000 * - kom - 2</t>
  </si>
  <si>
    <t>Instalacijski sklopnik, 25A, 2NO+2NC, 24VAC tip kao: 5TT58322 * -  - 1</t>
  </si>
  <si>
    <t>Instalacijski sklopnik, 40A, 4NO, 230VAC tip kao: 5TT58400 * - kom - 2</t>
  </si>
  <si>
    <t>Mrežni analizator, Modbus RTU komunikacija, tip kao: 7KM10200BA011DA0 * - kom - 2</t>
  </si>
  <si>
    <t>Radionička dokumentacija
jednopolna shema razdjelnika, izjava o sukladnosti
kpl 1</t>
  </si>
  <si>
    <t>Sva potrebna montažna i spojna oprema potrebna za ugradnju specificirane opreme u ormare do njegove pune fukcionalnosti; sabirnice, igličaste sabirnice, redne stezaljke, sabirnice nule i zemlje, spojni vodovi, plastične kanalice, označavanje, funkcionalno ispitivanje prije isporuke, atesti, ispitni protokol, korisnička dokumentacija te ostali potrebni sitni spojni i montažni materijal i pribor do pune funkcionalnosti razdjelnika. 
kom 1</t>
  </si>
  <si>
    <t>RAZDJELNIK, +01R1 (PMO/GRO)</t>
  </si>
  <si>
    <t>RAZDJELNIK, +01R4 (plinska kotlovnica)
Dobava montaža i spajanje samostojećeg modularnog niskonaponskog sklopnog bloka prema jednopolnoj shemi:</t>
  </si>
  <si>
    <t>Dobava montaža i spajanje n/ž modularnog niskonaponskog razvodnog ormara +01R4, tip kao:  atestiranog u skladu sa standardom IEC 61439-1/-2, nazivne struje do 400 A, nazivnog napona izolacije do 690 V, vršne vrijednosti kratkog spoja Ipk=76 kA, stupnja zaštite IP55, zaštićen sa polimer epoxy zaštitom u boji RAL 7035, sa punim vratima, sastavljen od  aparatnog  polja širine 800mm, ukupnih dimenzija 1950x(800)x320 mm (VxŠxD). Razdjelnik opremiti bravicama na vratima, nosačem za dokumentaciju, nosačima i pokrovnim pločama komponenata, stranicama,krovom i ostalim potrebnim mehaničkim priborom tip kao: * ALPHA 400 DIN.U razdjelnik ugraditi sljedeću opremu prema jednopolnoj shemi: - kom - 1</t>
  </si>
  <si>
    <t>Patrone za NH osigurače vel.000, 32A tip kao: 3NA3812 *   - kom - 3</t>
  </si>
  <si>
    <t>Patrone za NH osigurače vel.00 63A tip kao: 3NA3 822 *   - kom - 3</t>
  </si>
  <si>
    <t>Rastavljač osigurač NH veličina 00 tip kao: 3NP11331CA10 * - kom - 2</t>
  </si>
  <si>
    <t>Gljivasto tip kao:kalo, crveno, deblokada zakretom, 40mm, 2NC, tip kao: 3SU11001HB201PA0 * - kom - 1</t>
  </si>
  <si>
    <t>Signalna lampica zelena, LED 230VAC tip kao: 3SU11066AA401AA0 * - kom - 3</t>
  </si>
  <si>
    <t>Pomoćni kontakt 1NO za fi 22 elemente, tip kao: 3SU14001AA101BA0 * - kom - 1</t>
  </si>
  <si>
    <t>Kompaktni prekidač 3VA1, 3p, 25kA, 63A, tip kao: 3VA11633EE320AA0 * - kom - 1</t>
  </si>
  <si>
    <t>Isklopni svitak za 208....277 VAC, 220...250 VDC tip kao: 3VA99880BL33 * - kom - 1</t>
  </si>
  <si>
    <t>Energetski transformator 230/24 Vac, 250 W, tip kao: 4AM40424TN000EA0 * - kom - 1</t>
  </si>
  <si>
    <t>Katodni odvodnk prenapona 4p, za sustav TNS tip kao: 5SD74640 * - kom - 1</t>
  </si>
  <si>
    <t>FID sklopka 4p, 40A, 30mA tip kao: 5SV43440 * - kom - 1</t>
  </si>
  <si>
    <t>Automatski prekidač 1p, C6A 10kA tip kao: 5SY41067 * - kom - 1</t>
  </si>
  <si>
    <t>Automatski prekidač 1p, C10A  10kA tip kao: 5SY41107 * - kom - 5</t>
  </si>
  <si>
    <t>Automatski prekidač 1p, C16A  10kA tip kao: 5SY41167 * - kom - 4</t>
  </si>
  <si>
    <t>Automatski prekidač 2p, C10A 10kA tip kao: 5SY42107 * - kom - 1</t>
  </si>
  <si>
    <t>Automatski prekidač 3p, C6A 10kA tip kao: 5SY43067 * - kom - 1</t>
  </si>
  <si>
    <t>Automatski prekidač 3p,C16A 10kA tip kao: 5SY43167 *;   - kom - 1</t>
  </si>
  <si>
    <t>Automatski prekidač 3p, C32A  10kA tip kao: 5SY43327 * - kom - 1</t>
  </si>
  <si>
    <t>Sva potrebna montažna i spojna oprema potrebna za ugradnju specificirane opreme u ormare do njegove pune fukcionalnosti; sabirnice, igličaste sabirnice, redne stezaljke, sabirnice nule i zemlje, spojni vodovi, plastične kanalice, označavanje, funkcionalno ispitivanje prije isporuke, atesti, ispitni protokol, korisnička dokumentacija te ostali potrebni sitni spojni i montažni materijal i pribor do pune funkcionalnosti razdjelnika.
kom 1</t>
  </si>
  <si>
    <t>RAZDJELNIK, +01R4 (plinska kotlovnica)</t>
  </si>
  <si>
    <t>RAZDJELNIK, +0R1 (prizemlje)
Dobava montaža i spajanje samostojećeg modularnog niskonaponskog sklopnog bloka prema jednopolnoj shemi:</t>
  </si>
  <si>
    <t>Dobava montaža i spajanje samostojećeg modularnog niskonaponskog razvodnog ormara  oznake +0R1, tip kao:  atestiranog u skladu sa standardom IEC 61439-1/-2, nazivne struje do 630 A, nazivnog napona izolacije do 690 V, vršne vrijednosti kratkog spoja Ipk=76 kA, stupnja zaštite IP55, zaštićen sa polimer epoxy zaštitom u boji RAL 7035, sa punim vratima, sastavljen od  aparatnog  polja širine 1050mm, ukupnih dimenzija 1950x(1050)x320 mm (VxŠxD). Razdjelnik opremiti bravicama na vratima, nosačem za dokumentaciju, nosačima i pokrovnim pločama komponenata, stranicama,krovom i ostalim potrebnim mehaničkim priborom tip kao: * ALPHA 630 DIN. U razdjelnik ugraditi sljedeću opremu prema jednopolnoj shemi: - kom - 1</t>
  </si>
  <si>
    <t>Signalna lampica crvena, LED 230VAC tip kao: 3SU11066AA201AA0 * - kom - 1</t>
  </si>
  <si>
    <t>Kompaktni prekidač 3VA1, 3p, 25kA, 125A, tip kao: 3VA11123EE320AA0 * - kom - 1</t>
  </si>
  <si>
    <t>FID sklopka 4p, 40A, 30mA tip kao: 5SV43440 * - kom - 10</t>
  </si>
  <si>
    <t>Automatski prekidač 1p, C6A 10kA tip kao: 5SY41067 * - kom - 11</t>
  </si>
  <si>
    <t>Automatski prekidač 1p, C10A  10kA tip kao: 5SY41107 * - kom - 40</t>
  </si>
  <si>
    <t>Automatski prekidač 1p, C16A  10kA tip kao: 5SY41167 * - kom - 50</t>
  </si>
  <si>
    <t>Automatski prekidač 3p C10A 10kA tip kao: 5SY43107 *;   - kom - 6</t>
  </si>
  <si>
    <t>Automatski prekidač 3p,C16A 10kA tip kao: 5SY43167 *;   - kom - 2</t>
  </si>
  <si>
    <t>Automatski prekidač 3p, C32A  10kA tip kao: 5SY43327 * - kom - 10</t>
  </si>
  <si>
    <t>Instalacijski sklopnik, 25A, 4NO, 230VAC tip kao: 5TT58300 * - kom - 3</t>
  </si>
  <si>
    <t>Instalacijski sklopnik, 25A, 2NO+2NC, 24VAC tip kao: 5TT58322 * - kom - 1</t>
  </si>
  <si>
    <t>Instalacijski sklopnik, 40A, 3NO+1NC, 230VAC tip kao: 5TT58412 * - kom - 1</t>
  </si>
  <si>
    <t>Ethernet preklopnik, neupravljivi, 24 Vdc, 12 RJ45, tip kao: 6GK51120BA002AB2 * - kom - 1</t>
  </si>
  <si>
    <t>RAZDJELNIK, +0R1 (prizemlje)</t>
  </si>
  <si>
    <t>RAZDJELNIK, +0R2 (prizemlje)
Dobava montaža i spajanje samostojećeg modularnog niskonaponskog sklopnog bloka prema jednopolnoj shemi:</t>
  </si>
  <si>
    <t xml:space="preserve">Dobava montaža i spajanje p/ž modularnog niskonaponskog razvodnog ormara +0R2, tip kao:  atestiranog u skladu sa standardom IEC 61439-1/-2, nazivne struje do 160 A, nazivnog napona izolacije do 690 V, stupnja zaštite IP31, zaštićen sa polimer epoxy zaštitom u boji RAL 7035, sa punim vratima, sastavljen od  aparatnog  polja širine 800mm, ukupnih dimenzija 1950x(800)x320 mm (VxŠxD). Razdjelnik opremiti bravicama na vratima, nosačem za dokumentaciju, nosačima i pokrovnim pločama komponenata, stranicama,krovom i ostalim potrebnim mehaničkim priborom tip kao: * ALPHA 160 DIN. U razdjelnik ugraditi sljedeću opremu prema jednopolnoj shemi: - kom - </t>
  </si>
  <si>
    <t>Energetski transformator 230/24 Vac, 63 W, tip kao: 4AC37630 * - kom - 1</t>
  </si>
  <si>
    <t>FID sklopka 4p, 40A, 30mA tip kao: 5SV43440 * - kom - 5</t>
  </si>
  <si>
    <t>Automatski prekidač 1p, C6A 10kA tip kao: 5SY41067 * - kom - 10</t>
  </si>
  <si>
    <t>Automatski prekidač 1p, C10A  10kA tip kao: 5SY41107 * - kom - 11</t>
  </si>
  <si>
    <t>Automatski prekidač 1p, C16A  10kA tip kao: 5SY41167 * - kom - 32</t>
  </si>
  <si>
    <t>Automatski prekidač 3p C10A 10kA tip kao: 5SY43107 *;   - kom - 3</t>
  </si>
  <si>
    <t>Automatski prekidač 3p, C32A  10kA tip kao: 5SY43327 * - kom - 4</t>
  </si>
  <si>
    <t>Instalacijski sklopnik, 40A, 4NO, 230VAC tip kao: 5TT58410 * - kom - 1</t>
  </si>
  <si>
    <t>Radionička dokumentacija
jednopolna shema razdjelnika, izjava o sukladnosti, kpl 1</t>
  </si>
  <si>
    <t>Sva potrebna montažna i spojna oprema potrebna za ugradnju specificirane opreme u ormare do njegove pune fukcionalnosti; sabirnice, igličaste sabirnice, redne stezaljke, sabirnice nule i zemlje, spojni vodovi, plastične kanalice, označavanje, funkcionalno ispitivanje prije isporuke, atesti, ispitni protokol, korisnička dokumentacija te ostali potrebni sitni spojni i montažni materijal i pribor do pune funkcionalnosti razdjelnika., kom 1</t>
  </si>
  <si>
    <t>RAZDJELNIK, +0R2 (prizemlje)</t>
  </si>
  <si>
    <t>RAZDJELNIK, +0R3 (prizemlje)
Dobava montaža i spajanje samostojećeg modularnog niskonaponskog sklopnog bloka prema jednopolnoj shemi:</t>
  </si>
  <si>
    <t>Dobava montaža i spajanje p/ž modularnog niskonaponskog razvodnog ormara +0R3, tip kao:  atestiranog u skladu sa standardom IEC 61439-1/-2, nazivne struje do 160 A, nazivnog napona izolacije do 690 V, stupnja zaštite IP31, zaštićen sa polimer epoxy zaštitom u boji RAL 7035, sa punim vratima, sastavljen od  aparatnog  polja širine 800mm, ukupnih dimenzija 1950x(800)x320 mm (VxŠxD). Razdjelnik opremiti bravicama na vratima, nosačem za dokumentaciju, nosačima i pokrovnim pločama komponenata, stranicama,krovom i ostalim potrebnim mehaničkim priborom tip kao: * ALPHA 160 DIN. U razdjelnik ugraditi sljedeću opremu prema jednopolnoj shemi: - kom - 1</t>
  </si>
  <si>
    <t>Automatski prekidač 1p, C10A  10kA tip kao: 5SY41107 * - kom - 15</t>
  </si>
  <si>
    <t>Automatski prekidač 1p, C16A  10kA tip kao: 5SY41167 * - kom - 60</t>
  </si>
  <si>
    <t>Automatski prekidač 1p,C20A 10kA tip kao: 5SY41207 * - kom - 4</t>
  </si>
  <si>
    <t>Automatski prekidač 3p, C32A  10kA tip kao: 5SY43327 * - kom - 5</t>
  </si>
  <si>
    <t>Sva potrebna montažna i spojna oprema potrebna za ugradnju specificirane opreme u ormare do njegove pune fukcionalnosti; sabirnice, igličaste sabirnice, redne stezaljke, sabirnice nule i zemlje, spojni vodovi, plastične kanalice, označavanje, funkcionalno ispitivanje prije isporuke, atesti, ispitni protokol, korisnička dokumentacija te ostali potrebni sitni spojni i montažni materijal i pribor do pune funkcionalnosti razdjelnika. kom 1</t>
  </si>
  <si>
    <t>RAZDJELNIK, +0R3 (prizemlje)</t>
  </si>
  <si>
    <t>RAZDJELNIK, +1R2 (1. kat)
Dobava montaža i spajanje samostojećeg modularnog niskonaponskog sklopnog bloka prema jednopolnoj shemi:</t>
  </si>
  <si>
    <t>Dobava montaža i spajanje samostojećeg modularnog niskonaponskog razvodnog ormara  oznake +1R2, tip kao:  atestiranog u skladu sa standardom IEC 61439-1/-2, nazivne struje do 630 A, nazivnog napona izolacije do 690 V, vršne vrijednosti kratkog spoja Ipk=76 kA, stupnja zaštite IP55, zaštićen sa polimer epoxy zaštitom u boji RAL 7035, sa punim vratima, sastavljen od  aparatnog  polja širine 800mm, ukupnih dimenzija 1950x(800)x320 mm (VxŠxD). Razdjelnik opremiti bravicama na vratima, nosačem za dokumentaciju, nosačima i pokrovnim pločama komponenata, stranicama,krovom i ostalim potrebnim mehaničkim priborom tip kao: * ALPHA 630 DIN. U razdjelnik ugraditi sljedeću opremu prema jednopolnoj shemi: - kom - 1</t>
  </si>
  <si>
    <t>Signalna lampica crvena, LED 230VAC tip kao: 3SU11066AA201AA0 * - kom - 2</t>
  </si>
  <si>
    <t>Signalna lampica zelena, LED 230VAC tip kao: 3SU11066AA401AA0 * - kom - 4</t>
  </si>
  <si>
    <t>Kompaktni prekidač 3VA1, 3p, 36kA, 200A, tip kao: 3VA12204EF320AA0 * - kom - 1</t>
  </si>
  <si>
    <t>FID sklopka 2p, 25A, 30mA tip kao: 5SV43120 * - kom - 4</t>
  </si>
  <si>
    <t>FID sklopka 4p, 25A, 30mA tip kao: 5SV43420 * - kom - 2</t>
  </si>
  <si>
    <t>FID sklopka 4p, 40A, 30mA tip kao: 5SV43440 * - kom - 9</t>
  </si>
  <si>
    <t>Automatski prekidač 1p, C6A 10kA tip kao: 5SY41067 * - kom - 13</t>
  </si>
  <si>
    <t>Automatski prekidač 1p, C10A  10kA tip kao: 5SY41107 * - kom - 23</t>
  </si>
  <si>
    <t>Automatski prekidač 1p, C16A  10kA tip kao: 5SY41167 * - kom - 46</t>
  </si>
  <si>
    <t>Automatski prekidač 1p,C20A 10kA tip kao: 5SY41207 * - kom - 1</t>
  </si>
  <si>
    <t>Automatski prekidač 3p,C16A 10kA tip kao: 5SY43167 *;   - kom - 4</t>
  </si>
  <si>
    <t>Automatski prekidač 3p, C32A  10kA tip kao: 5SY43327 * - kom - 8</t>
  </si>
  <si>
    <t>Instalacijski sklopnik, 20A, 2NO, 230VAC tip kao: 5TT58000 * - kom - 1</t>
  </si>
  <si>
    <t>Instalacijski sklopnik, 25A, 4NO, 230VAC tip kao: 5TT58300 * - kom - 1</t>
  </si>
  <si>
    <t>Instalacijski sklopnik, 40A, 4NO, 230VAC tip kao: 5TT58410 * - kom - 2</t>
  </si>
  <si>
    <t>RAZDJELNIK, +1R2 (1. kat)</t>
  </si>
  <si>
    <t>RAZDJELNIK, +1R3 (1. kat)
Dobava montaža i spajanje samostojećeg modularnog niskonaponskog sklopnog bloka prema jednopolnoj shemi:</t>
  </si>
  <si>
    <t xml:space="preserve">Dobava montaža i spajanje n/ž modularnog niskonaponskog razvodnog ormara +1R3, tip kao:  atestiranog u skladu sa standardom IEC 61439-1/-2, nazivne struje do 400 A, nazivnog napona izolacije do 690 V, vršne vrijednosti kratkog spoja Ipk=76 kA, stupnja zaštite IP55, zaštićen sa polimer epoxy zaštitom u boji RAL 7035, sa punim vratima, sastavljen od  aparatnog  polja širine 800mm, ukupnih dimenzija 1950x(800)x320 mm (VxŠxD). Razdjelnik opremiti bravicama na vratima, nosačem za dokumentaciju, nosačima i pokrovnim pločama komponenata, stranicama,krovom i ostalim potrebnim mehaničkim priborom. . U razdjelnik ugraditi sljedeću opremu prema jednopolnoj shemi: - kom - </t>
  </si>
  <si>
    <t>Rastavna sklopka 3p, 100A, tip kao: 3LD27040TK51 * - kom - 1</t>
  </si>
  <si>
    <t>FID sklopka 4p, 40A, 30mA tip kao: 5SV43440 * - kom - 6</t>
  </si>
  <si>
    <t>Automatski prekidač 1p,C20A 10kA tip kao: 5SY41207 * - kom - 2</t>
  </si>
  <si>
    <t>Automatski prekidač 3p,C16A 10kA tip kao: 5SY43167 *;   - kom - 3</t>
  </si>
  <si>
    <t>Automatski prekidač 3p, C32A  10kA tip kao: 5SY43327 * - kom - 6</t>
  </si>
  <si>
    <t>Instalacijski sklopnik, 25A, 2NO+2NC, 24VAC tip kao: 5TT58322 * - kom - 2</t>
  </si>
  <si>
    <t>RAZDJELNIK, +1R3 (1. kat)</t>
  </si>
  <si>
    <t>RAZDJELNIK, +2R2 (2. kat)
Dobava montaža i spajanje samostojećeg modularnog niskonaponskog sklopnog bloka prema jednopolnoj shemi:</t>
  </si>
  <si>
    <t>Dobava montaža i spajanje n/ž modularnog niskonaponskog razvodnog ormara +2R2, tip kao:  atestiranog u skladu sa standardom IEC 61439-1/-2, nazivne struje do 400 A, nazivnog napona izolacije do 690 V, vršne vrijednosti kratkog spoja Ipk=76 kA, stupnja zaštite IP55, zaštićen sa polimer epoxy zaštitom u boji RAL 7035, sa punim vratima, sastavljen od  aparatnog  polja širine 800mm, ukupnih dimenzija 1950x(800)x320 mm (VxŠxD). Razdjelnik opremiti bravicama na vratima, nosačem za dokumentaciju, nosačima i pokrovnim pločama komponenata, stranicama,krovom i ostalim potrebnim mehaničkim priborom tip kao: * ALPHA 400 DIN. U razdjelnik ugraditi sljedeću opremu prema jednopolnoj shemi: - kom - 1</t>
  </si>
  <si>
    <t>FID sklopka 4p, 40A, 30mA tip kao: 5SV43440 * - kom - 7</t>
  </si>
  <si>
    <t>Automatski prekidač 1p, C10A  10kA tip kao: 5SY41107 * - kom - 22</t>
  </si>
  <si>
    <t>Automatski prekidač 1p, C16A  10kA tip kao: 5SY41167 * - kom - 44</t>
  </si>
  <si>
    <t>Automatski prekidač 3p, C32A  10kA tip kao: 5SY43327 * - kom - 7</t>
  </si>
  <si>
    <t>RAZDJELNIK, +2R2 (2. kat)</t>
  </si>
  <si>
    <t>RAZDJELNIK, +2R3 (2. kat)
Dobava montaža i spajanje samostojećeg modularnog niskonaponskog sklopnog bloka prema jednopolnoj shemi:</t>
  </si>
  <si>
    <t>Dobava montaža i spajanje n/ž modularnog niskonaponskog razvodnog ormara +2R3, tip kao:  atestiranog u skladu sa standardom IEC 61439-1/-2, nazivne struje do 400 A, nazivnog napona izolacije do 690 V, vršne vrijednosti kratkog spoja Ipk=76 kA, stupnja zaštite IP55, zaštićen sa polimer epoxy zaštitom u boji RAL 7035, sa punim vratima, sastavljen od  aparatnog  polja širine 800mm, ukupnih dimenzija 1950x(800)x320 mm (VxŠxD). Razdjelnik opremiti bravicama na vratima, nosačem za dokumentaciju, nosačima i pokrovnim pločama komponenata, stranicama,krovom i ostalim potrebnim mehaničkim priborom tip kao: * ALPHA 400 DIN. U razdjelnik ugraditi sljedeću opremu prema jednopolnoj shemi: - kom - 1</t>
  </si>
  <si>
    <t>Automatski prekidač 1p, C16A  10kA tip kao: 5SY41167 * - kom - 35</t>
  </si>
  <si>
    <t>RAZDJELNIK, +2R3 (2. kat)</t>
  </si>
  <si>
    <t>RAZDJELNIK, +3R2 (potkrovlje)
Dobava montaža i spajanje samostojećeg modularnog niskonaponskog sklopnog bloka prema jednopolnoj shemi:</t>
  </si>
  <si>
    <t>Dobava montaža i spajanje n/ž modularnog niskonaponskog razvodnog ormara +3R2, tip kao:  atestiranog u skladu sa standardom IEC 61439-1/-2, nazivne struje do 400 A, nazivnog napona izolacije do 690 V, vršne vrijednosti kratkog spoja Ipk=76 kA, stupnja zaštite IP55, zaštićen sa polimer epoxy zaštitom u boji RAL 7035, sa punim vratima, sastavljen od  aparatnog  polja širine 1050mm, ukupnih dimenzija 1950x(800)x320 mm (VxŠxD). Razdjelnik opremiti bravicama na vratima, nosačem za dokumentaciju, nosačima i pokrovnim pločama komponenata, stranicama,krovom i ostalim potrebnim mehaničkim priborom  tip kao: * ALPHA 400 DIN. U razdjelnik ugraditi sljedeću opremu prema jednopolnoj shemi: - kom - 1</t>
  </si>
  <si>
    <t>FID sklopka 2p, 25A, 30mA tip kao: 5SV43120 * - kom - 3</t>
  </si>
  <si>
    <t>Automatski prekidač 1p, C16A  10kA tip kao: 5SY41167 * - kom - 47</t>
  </si>
  <si>
    <t>RAZDJELNIK, +3R2 (potkrovlje)</t>
  </si>
  <si>
    <t>RAZDJELNIK, +3R3 (potkrovlje)
Dobava montaža i spajanje samostojećeg modularnog niskonaponskog sklopnog bloka prema jednopolnoj shemi:</t>
  </si>
  <si>
    <t xml:space="preserve">Dobava montaža i spajanje n/ž modularnog niskonaponskog razvodnog ormara +3R3, tip kao:  atestiranog u skladu sa standardom IEC 61439-1/-2, nazivne struje do 400 A, nazivnog napona izolacije do 690 V, vršne vrijednosti kratkog spoja Ipk=76 kA, stupnja zaštite IP55, zaštićen sa polimer epoxy zaštitom u boji RAL 7035, sa punim vratima, sastavljen od  aparatnog  polja širine 1050mm, ukupnih dimenzija 1950x(800)x320 mm (VxŠxD). Razdjelnik opremiti bravicama na vratima, nosačem za dokumentaciju, nosačima i pokrovnim pločama komponenata, stranicama,krovom i ostalim potrebnim mehaničkim priborom  tip kao: * ALPHA 400 DIN. U razdjelnik ugraditi sljedeću opremu prema jednopolnoj shemi: - kom - </t>
  </si>
  <si>
    <t xml:space="preserve">Bočne stranice - kom - </t>
  </si>
  <si>
    <t xml:space="preserve">Prednji/zadnji dio postolja sa nogama 1200/200 mm - kom - </t>
  </si>
  <si>
    <t xml:space="preserve">Bočni pokrov postolja 500/200 mm - kom - </t>
  </si>
  <si>
    <t>FID sklopka 2p, 25A, 30mA tip kao: 5SV43120 * - kom - 1</t>
  </si>
  <si>
    <t>Automatski prekidač 1p, C16A  10kA tip kao: 5SY41167 * - kom - 30</t>
  </si>
  <si>
    <t>RAZDJELNIK, +3R3 (potkrovlje)</t>
  </si>
  <si>
    <t>RAZDJELNIK, +3R4 (potkrovlje/GHV)
Dobava montaža i spajanje samostojećeg modularnog niskonaponskog sklopnog bloka prema jednopolnoj shemi:</t>
  </si>
  <si>
    <t>Dobava montaža i spajanje n/ž modularnog niskonaponskog razvodnog ormara +3R4, tip kao:  atestiranog u skladu sa standardom IEC 61439-1/-2, nazivne struje do 400 A, nazivnog napona izolacije do 690 V, vršne vrijednosti kratkog spoja Ipk=76 kA, stupnja zaštite IP55, zaštićen sa polimer epoxy zaštitom u boji RAL 7035, sa punim vratima, sastavljen od  aparatnog  polja širine 800mm, ukupnih dimenzija 1950x(800)x320 mm (VxŠxD). Razdjelnik opremiti bravicama na vratima, nosačem za dokumentaciju, nosačima i pokrovnim pločama komponenata, stranicama,krovom i ostalim potrebnim mehaničkim priborom  tip kao: * ALPHA 400 DIN. U razdjelnik ugraditi sljedeću opremu prema jednopolnoj shemi: - kom - 1</t>
  </si>
  <si>
    <t>Patrone za NH osigurače vel.1, 100A tip kao: 3NA3130 *   - kom - 3</t>
  </si>
  <si>
    <t>Rastavljač osigurač NH veličina 00 tip kao: 3NP11331CA10 *   - kom - 1</t>
  </si>
  <si>
    <t>Sklopnik 35A, upr. napon 230VAC tip kao: 3RT20281AP00 *   - kom - 1</t>
  </si>
  <si>
    <t>Mot. sklopka 30-36 A, tip kao: 3RV20214PA10 *   - kom - 1</t>
  </si>
  <si>
    <t>Pomoćni kontakt 1NO + 1NC za mot. sklopke, tip kao: 3RV29011E * - kom - 1</t>
  </si>
  <si>
    <t>Preklopka 102, 1p, 10A tip kao: 3SU11002BL601NA0  * - kom - 1</t>
  </si>
  <si>
    <t>Kompaktni prekidač 3VA1, 3p, 36kA, 250A, tip kao: 3VA12254EF320AA0 * - kom - 1</t>
  </si>
  <si>
    <t>Katodni odvodnik struje munje i  prenapona 4p, 350V, za TNS sistem zaštite s indikacijom prorade tip kao: 5SD74441 *  - kom - 1</t>
  </si>
  <si>
    <t>Automatski prekidač 1p, C6A 10kA tip kao: 5SY41067 * - kom - 2</t>
  </si>
  <si>
    <t>Automatski prekidač 1p, C16A  10kA tip kao: 5SY41167 * - kom - 1</t>
  </si>
  <si>
    <t>Automatski prekidač 1p,C20A 10kA tip kao: 5SY41207 * - kom - 5</t>
  </si>
  <si>
    <t>Automatski prekidač 1p, C25A 10kA tip kao: 5SY41257 * - kom - 5</t>
  </si>
  <si>
    <t>Automatski prekidač 3p, C50A  10kA tip kao: 5SY43507 * - kom - 5</t>
  </si>
  <si>
    <t>RAZDJELNIK, +3R4 (potkrovlje/GHV)</t>
  </si>
  <si>
    <t>RAZDJELNIK, +3R5 (potkrovlje/GHV)
Dobava montaža i spajanje samostojećeg modularnog niskonaponskog sklopnog bloka prema jednopolnoj shemi:</t>
  </si>
  <si>
    <t>Dobava montaža i spajanje n/ž modularnog niskonaponskog razvodnog ormara +3R5, tip kao:  atestiranog u skladu sa standardom IEC 61439-1/-2, nazivne struje do 400 A, nazivnog napona izolacije do 690 V, vršne vrijednosti kratkog spoja Ipk=76 kA, stupnja zaštite IP55, zaštićen sa polimer epoxy zaštitom u boji RAL 7035, sa punim vratima, sastavljen od  aparatnog  polja širine 800mm, ukupnih dimenzija 1950x(800)x320 mm (VxŠxD). Razdjelnik opremiti bravicama na vratima, nosačem za dokumentaciju, nosačima i pokrovnim pločama komponenata, stranicama,krovom i ostalim potrebnim mehaničkim priborom tip kao: * ALPHA 400 DIN. U razdjelnik ugraditi sljedeću opremu prema jednopolnoj shemi: - kom - 1</t>
  </si>
  <si>
    <t>Automatski prekidač 1p, C25A 10kA tip kao: 5SY41257 * - kom - 1</t>
  </si>
  <si>
    <t>Automatski prekidač 3p, C50A  10kA tip kao: 5SY43507 * - kom - 6</t>
  </si>
  <si>
    <t>RAZDJELNIK, +3R5 (potkrovlje/GHV)</t>
  </si>
  <si>
    <t>Uređaj za kompenzaciju jalove energije s regulatorom i prigušenjem  70kVAr_4x12,5+1x20,  400 V 50 Hz</t>
  </si>
  <si>
    <t xml:space="preserve">
kpl</t>
  </si>
  <si>
    <t>U jedinične cijene za podžbukne tipove uključene su i podžbukne kutije, središnje ploče i odgovarajući broj pokrovnih okvira.
Na isti način i nadžbukni tipovi sadrže pripadajuće kutije uz uređaje, okvire itd.</t>
  </si>
  <si>
    <t>1x sklopka obična 10 A, 1p, podžbukna</t>
  </si>
  <si>
    <t>1x sklopka obična 10 A, 1p, nadžbukna</t>
  </si>
  <si>
    <t>1x sklopka izmjenična 10 A podžbukna</t>
  </si>
  <si>
    <t>1x sklopka izmjenična 10 A nadžbukna</t>
  </si>
  <si>
    <t>1x sklopka križna 10 A podžbukna</t>
  </si>
  <si>
    <t>1x tipkalo instalacijsko, podžbukno</t>
  </si>
  <si>
    <t>1x tipkalo instalacijsko, nadžbukno</t>
  </si>
  <si>
    <t>1x senzor pokreta sanitarni čvor</t>
  </si>
  <si>
    <t>Tipkalo za isklop napajanja u objektu, IP55, 230V, 1xNO</t>
  </si>
  <si>
    <t>1x Priključnica monofazna sa zaštitnim kontaktom sa okvirom za p/ž montažu</t>
  </si>
  <si>
    <t>2x Priključnica monofazna sa zaštitnim kontaktom u zajedničkom okviru za p/ž montažu</t>
  </si>
  <si>
    <t>1x Priključnica monofazna sa zaštitnim kontaktom sa okvirom za p/ž montažu - sa poklopcem</t>
  </si>
  <si>
    <t>1x Priključnica monofazna sa zaštitnim kontaktom sa okvirom za OG montažu - sa poklopcem</t>
  </si>
  <si>
    <t>1x Priključnica monofazna sa zaštitnim kontaktom sa poklopcem za nadžbuknu montažu 
CEE 3p 230V 16A</t>
  </si>
  <si>
    <t>1x Priključnica trofazna CEE 5p,400V,16A sa zaštitnim kontaktom sa okvirom za p/ž montažu 
- sa poklopcem</t>
  </si>
  <si>
    <t>1x Priključnica trofazna CEE 5p,400V,16A sa zaštitnim kontaktom sa okvirom za OG montažu 
- sa poklopcem</t>
  </si>
  <si>
    <t>1x Priključnica trofazna 5p,400V,32A sa zaštitnim kontaktom sa okvirom za OG montažu 
- sa poklopcem</t>
  </si>
  <si>
    <t>1x Trajni spoj monofazna sa zaštitnim kontaktom za p/ž montažu priključak bojlera, slavine, …</t>
  </si>
  <si>
    <t>Montaža i spajanje električnih uređaja kao npr. sušila za ruke, el. grijači vode, ...</t>
  </si>
  <si>
    <t>Razvodna kutija nadžbukna, IP54, s maksimalno 7 stezaljki do 5 x 2,5, kpl sa priborm za spajanje i uvodnicama</t>
  </si>
  <si>
    <t>Razvodna kutija podžbukna, IP54, s maksimalno 7 stezaljki do 5 x 2,5, kpl sa priborm za spajanje i uvodnicama</t>
  </si>
  <si>
    <t>1x Priključnica RJ45 za p/ž montažu
(konektor obračunat u poglavlju rač. mreže)</t>
  </si>
  <si>
    <t>2x Priključnica RJ45 za p/ž montažu
(konektor obračunat u poglavlju rač. mreže)</t>
  </si>
  <si>
    <t>1x Priključnica RJ45 za OG montažu
(konektor obračunat u poglavlju rač. mreže)</t>
  </si>
  <si>
    <t>2x Priključnica RJ45 za OG montažu
(konektor obračunat u poglavlju rač. mreže)</t>
  </si>
  <si>
    <t>1x Priključak RJ45 za spajanje na kabel rač. mreže</t>
  </si>
  <si>
    <t>Osnova parapetni kanal PVC, 70x130, boja bijela</t>
  </si>
  <si>
    <t>Poklopac za parapetni kanal, boja bijela</t>
  </si>
  <si>
    <t>Pregrada za odvajanje jake i slabe struje sa stezaljkom za uzemljenje</t>
  </si>
  <si>
    <t>Završni element za zatvaranje kanala</t>
  </si>
  <si>
    <t>"L" spojni element za spajanje dva kraka horizontalnog kanala</t>
  </si>
  <si>
    <t>"T" spojni element za spajanje vertikalnog i horizontalnog kanala</t>
  </si>
  <si>
    <t>Podna ugradna kutija za 16 modula s poklopcem za parket ili drugi završni materijal poda i adapetrom za cijevi. Ugradnja priključnica 230V i RJ45</t>
  </si>
  <si>
    <t>Podna ugradna kutija za 24 modula s poklopcem za parket ili drugi završni materijal poda i adapetrom za cijevi. Ugradnja priključnica 230V i RJ45</t>
  </si>
  <si>
    <t>Priključnica monofazna 2x230V, 16A za ugradnju u podnu kutiju / parapetni kanal</t>
  </si>
  <si>
    <t>Priključnica monofazna 1x230V, 16A za ugradnju u podnu kutiju / parapetni kanal</t>
  </si>
  <si>
    <t>Priključnica 2xRJ45 sa zaštitom od ulaska prašine za ugradnju u podnu kutiju</t>
  </si>
  <si>
    <t>Priključak za TV/projektor uređaj</t>
  </si>
  <si>
    <t>1x Priključnica RJ45 za p/ž montažu = 2 kom</t>
  </si>
  <si>
    <t>1x Priključnica monofazna sa zaštitnim kontaktom = 2 kom</t>
  </si>
  <si>
    <t>1x HDMI priključak = 1 kom</t>
  </si>
  <si>
    <t>ugradna kutija = 1 kom</t>
  </si>
  <si>
    <t>okvir = 1 kom</t>
  </si>
  <si>
    <t>HDMI priključnica za ugradnju u podnu kutiju</t>
  </si>
  <si>
    <t>SOS sustav za dojavu iz invalidskih sanitarija, a sastoji se od:</t>
  </si>
  <si>
    <t>modul za napajanje = 1 kom</t>
  </si>
  <si>
    <t>pozivno tipkalo sa poteznom vrpcom = 1 kom</t>
  </si>
  <si>
    <t>pozivno tipkalo uz vrata = 1 kom</t>
  </si>
  <si>
    <t>razrješno tipkalo = 1 kom</t>
  </si>
  <si>
    <t>signalizacija sa biperom iznad vrata = 1 kom</t>
  </si>
  <si>
    <t>signalizacija sa biperom na info pultu = 1 kom</t>
  </si>
  <si>
    <t>interno ožičenje elemenata = 1 kpl</t>
  </si>
  <si>
    <t>Razdjelnik za ugradnju u zid IP55 sa vratima i bravicom sa sljedećom opremom, dimenzije 40x40x12cm</t>
  </si>
  <si>
    <t>Priključnica 230V, 16A, nadžbukna sa poklopce IP44
kom 4</t>
  </si>
  <si>
    <t>Razdjelnik</t>
  </si>
  <si>
    <t>Instalcijski stupić za vanjsku ugradnjuIP55 komplet sa temeljem sa sljedećom opremom</t>
  </si>
  <si>
    <t>ZUDS 4p, 40/0,03A kom 1</t>
  </si>
  <si>
    <t>AP 1p, 16A, B kar. 2 kom</t>
  </si>
  <si>
    <t>Instalcijski stupić za vanjsku ugradnju</t>
  </si>
  <si>
    <t>Kabelska polica od pocinčanog lima nazivne širine 50mm i visine 60mm sa ovjesnim priborom, 
za montažu na zid i/ili strop</t>
  </si>
  <si>
    <t>Kabelska polica od pocinčanog lima nazivne širine 100mm i visine 60mm sa ovjesnim priborom, 
za montažu na zid i/ili strop</t>
  </si>
  <si>
    <t>Kabelska polica od pocinčanog lima nazivne širine 200mm i visine 60mm sa ovjesnim priborom, 
za montažu na zid i/ili strop</t>
  </si>
  <si>
    <t>Kabelska polica od pocinčanog lima nazivne širine 300mm i visine 60mm sa ovjesnim priborom, 
za montažu na zid i/ili strop</t>
  </si>
  <si>
    <t>Kabelska polica sa očuvanjem funkcije u požaru 90min od pocinčanog lima nazivne širine 100mm i visine 60mm sa ovjesnim priborom, 
za montažu na zid i/ili strop</t>
  </si>
  <si>
    <t>cijev CS 16 mm</t>
  </si>
  <si>
    <t>cijev CS 23 mm</t>
  </si>
  <si>
    <t>cijev CS 32 mm</t>
  </si>
  <si>
    <t>cijev PEHD fi 80 mm</t>
  </si>
  <si>
    <t>cijev PEHD fi 20 mm</t>
  </si>
  <si>
    <t>Cijevi sa svim potrebnim priborom za ovjes i promjenu smjera, PNT fi 13,5mm</t>
  </si>
  <si>
    <t>Dobava, isporuka i polaganje PNT cijevi promjera 16mm s elementima za promjenu smjera i ovjesnim priborom</t>
  </si>
  <si>
    <t>Dobava i polaganje kabela duž kabelskih polica, na OG obujmice, te uvlačenjem u instalacijske cijevi</t>
  </si>
  <si>
    <t>(N)HXHX E30 3x1,5mm2</t>
  </si>
  <si>
    <t>(N)HXHX E30 3x2,5mm2</t>
  </si>
  <si>
    <t>(N)HXHX E30 3x4,0mm2</t>
  </si>
  <si>
    <t>(N)HXHX E90 3x1,5mm2</t>
  </si>
  <si>
    <t>(N)HXHX E90 5x10,0mm2</t>
  </si>
  <si>
    <t>(N)HXHX E90 4x50+25mm2</t>
  </si>
  <si>
    <t>FG16OR16 3x4,0mm2</t>
  </si>
  <si>
    <t>FG16OR16 3x6,0mm2</t>
  </si>
  <si>
    <t>FG16OR16 5x10,0mm2</t>
  </si>
  <si>
    <t>FG16OR16 5x16,0mm2</t>
  </si>
  <si>
    <t>FG16OR16 4x35+25mm2</t>
  </si>
  <si>
    <t>FG16OR16 4x50+25mm2</t>
  </si>
  <si>
    <t>FG16OR16 4x70+35mm2</t>
  </si>
  <si>
    <t>FG16OR16 4x95+35mm2</t>
  </si>
  <si>
    <t>NHXMH-J 3x1,5mm2</t>
  </si>
  <si>
    <t>NHXMH-J 3x2,5mm2</t>
  </si>
  <si>
    <t>NHXMH-J 3x4,0mm2</t>
  </si>
  <si>
    <t>NHXMH-J 5x1,5mm2</t>
  </si>
  <si>
    <t>NHXMH-J 5x2,5mm2</t>
  </si>
  <si>
    <t>NHXMH-J 5x6,0mm2</t>
  </si>
  <si>
    <t>NHXMH-J 5x10,0mm2</t>
  </si>
  <si>
    <t>NHXMH-J 5x16,0mm2</t>
  </si>
  <si>
    <t>NYY-J 3x1,5mm2</t>
  </si>
  <si>
    <t>NYY-J 3x2,5mm2</t>
  </si>
  <si>
    <t>NYY-J 3x4,0mm2</t>
  </si>
  <si>
    <t>oklopljeni bus kabel za ventilokonvektore
2x1,0mm2</t>
  </si>
  <si>
    <t>oklopljeni kabel za termostate ventilokonvektora
3x0,75mm2</t>
  </si>
  <si>
    <t>LiYCY 4x 0,75mm²</t>
  </si>
  <si>
    <t>DALI bus kabel 2x1,5mm2</t>
  </si>
  <si>
    <t>coax. Antenski kabel SAT i GND</t>
  </si>
  <si>
    <t>HDMI kabel duljine 15m sa 
obostranom priključnicom</t>
  </si>
  <si>
    <t>P/F-Y 25mm2, povezivanje rack razdjelnika</t>
  </si>
  <si>
    <t>P/F-Y 10mm2</t>
  </si>
  <si>
    <t>P/F-Y 6mm2</t>
  </si>
  <si>
    <r>
      <t>Kutija s poklopcem za izjednačenje potencijala u sanitarijama, zajedno s povezivanjem metalnih masa i spajanjem na zaštitnu sabirnicu pripadne razdjelnice vodičem P/FJ-10,0mm</t>
    </r>
    <r>
      <rPr>
        <vertAlign val="superscript"/>
        <sz val="10"/>
        <rFont val="Calibri"/>
        <family val="2"/>
      </rPr>
      <t xml:space="preserve">2 </t>
    </r>
    <r>
      <rPr>
        <sz val="10"/>
        <rFont val="Calibri"/>
        <family val="2"/>
      </rPr>
      <t>, 25m</t>
    </r>
  </si>
  <si>
    <t>Izrada šliceva za električne instalacije u zidovima s grubim zatvaranjem, uključivo odvoz šute</t>
  </si>
  <si>
    <t>odimljavanje stubišta i otvaranje evakuacijskih vrata na pročelju objekta za ulaz svježeg zraka</t>
  </si>
  <si>
    <t>Centrala za odimljavanje, modularni sustav
- upravljanje 24 V DC elektromotornim pogonima za odvođenje dima i topline u slučaju požara
- manualna i automatska kontrola ventilacije
- procesuiranje i okidanje signala manualnih i automatskih sustava za odvođenje dima
- unutarnja BUS sabirnica za modularnu konfiguraciju
- USB sučelje za konfiguraciju i upravljanje centralnom jedinicom putem softwera
- maksimalna izlazna struja za upravljanje elektromotornim pogonima od 10A
- osam mjesta za module za moguću nadogradnju
- rezervni izvod napajanja za pogon motora
 - Na centralu se spajaju elektromotori za:
2x otvaranje kupola/prozora
3x otvaranje vrata i odbravljivanje fiksnog krila
2x električna brava</t>
  </si>
  <si>
    <t>Ručni javljač za aktivaciju odimljavanja
- nadžbukna montaža s izmjenjivim staklom
- reset tipkalo za reset alarma
- jedna ventilacijska grupa
- LED indikacija za status sustava (požarni alarm, u radu, prozor otvoren, greška)
- napajanje 24 V DC</t>
  </si>
  <si>
    <t>Dobava sustava elektromotornog pogona za otvaranje prozora/kupole za spoj na centralu odimljavanja</t>
  </si>
  <si>
    <t>zupčasta letva ili slično s pogonom, 24 V DC /  800 N / 600 mm hod, izvedba OT (ohne Tubus) - bez tubusa</t>
  </si>
  <si>
    <t>konzole za ugradnju na letvu i prozorska krila</t>
  </si>
  <si>
    <t>Uključivo ostali montažni materijal.</t>
  </si>
  <si>
    <t>Ugradnja obračunata u stavki C.1.10.</t>
  </si>
  <si>
    <t>pogon za otvaranje prozora/kupole</t>
  </si>
  <si>
    <t>Dobava sustava elektromotornog pogona za otvaranje oba dva krila vrata i odbravljivanje fiksnog dijela vrata, za spoj na centralu odimljavanja</t>
  </si>
  <si>
    <t>konzole za ugradnju na letvu i  krila vrata</t>
  </si>
  <si>
    <t>pogon za otvaranje vrata i/ili odbravljivanje fiksnog krila vrata</t>
  </si>
  <si>
    <t>Dobava i ugradnja senzora vjetra i kiše, 24 V DC / 0,09 A, grijana površina senzora, dimenzije max.: ŠxVxD: 96x77x118 mm.</t>
  </si>
  <si>
    <t>senzor vjetra i kiše sa automatikom i konekcijom za spoj na centrale odimljavanja</t>
  </si>
  <si>
    <t>Sitni montažni pribor i puštanje u rad</t>
  </si>
  <si>
    <t>Isporuka i uvlačenje kabela s očuvanjem funkcije u požaru 90 minuta 3x1,5mm2</t>
  </si>
  <si>
    <t>Isporuka i uvlačenje kabela s očuvanjem funkcije u požaru 90 minuta 5x2,5mm2</t>
  </si>
  <si>
    <t>Isporuka razvodne kutije s očuvanjem funkcije u požaru 90 minuta za priključak EMP prozora</t>
  </si>
  <si>
    <t>Funkcionalno ispitivanje sustava odimljavanja i otvaranja vrata na pročelju objekta s izdavanjem uvjerenja od strane ovlaštene tvrtke</t>
  </si>
  <si>
    <t>otvaranje evakuacijskih vrata na pročelju objekta</t>
  </si>
  <si>
    <t>Centrala za odimljavanje, modularni sustav
- upravljanje 24 V DC elektromotornim pogonima za odvođenje dima i topline u slučaju požara
- manualna i automatska kontrola ventilacije
- procesuiranje i okidanje signala manualnih i automatskih sustava za odvođenje dima
- unutarnja BUS sabirnica za modularnu konfiguraciju
- USB sučelje za konfiguraciju i upravljanje centralnom jedinicom putem softwera
- maksimalna izlazna struja za upravljanje elektromotornim pogonima od 10A
- osam mjesta za module za moguću nadogradnju
- rezervni izvod napajanja za pogon motora
 - Na centralu se spajaju elektromotori za:
3x otvaranje vrata i odbravljivanje fiksnog krila
2x električna brava</t>
  </si>
  <si>
    <t>Funkcionalno ispitivanje sustava za deblokadu i otvaraje evakuacijskih vrata s izdavanjem uvjerenja od strane ovlaštene tvrtke</t>
  </si>
  <si>
    <t>Električna instalacija strukturnog kabliranja</t>
  </si>
  <si>
    <r>
      <rPr>
        <b/>
        <sz val="10"/>
        <rFont val="Calibri"/>
        <family val="2"/>
      </rPr>
      <t xml:space="preserve">Komunikacijski ormar +1BD1 
</t>
    </r>
    <r>
      <rPr>
        <sz val="10"/>
        <rFont val="Calibri"/>
        <family val="2"/>
      </rPr>
      <t>uključivo pasivna oprema:</t>
    </r>
  </si>
  <si>
    <t>Samostojeći serverski ormar (42HE) - 800(š)x800(d)x2000+100(v) mm s ugrađenim prednjim i stražnjim vertikalnim nosačima za ugradnju 19" opreme (2 para), s ugrađenom ventilatorskom jedinicom i termostatom, setom za uzemljenje i kompletom od 150 matica i vijaka za učvrščenje 19" opreme = 1 kpl</t>
  </si>
  <si>
    <t>Dobava i montaža  dodatnih ranžirnih panela = 8 kom</t>
  </si>
  <si>
    <t>Dobava i montaža dodatne 7xUPS-mrežne letvice crvene boje = 2 kom</t>
  </si>
  <si>
    <t>Dobava, montaža i spajanje optičkog patch panela visine 1U, s prednjom pločom za 12 x SC-duplex spojnica = 2 kpl</t>
  </si>
  <si>
    <r>
      <t>NAPOMENA:</t>
    </r>
    <r>
      <rPr>
        <i/>
        <sz val="10"/>
        <rFont val="Calibri"/>
        <family val="2"/>
      </rPr>
      <t xml:space="preserve"> Narudžba treba obuhvaćati</t>
    </r>
  </si>
  <si>
    <t>razdjelnik</t>
  </si>
  <si>
    <t>prednju ploču za 12 SC duplex spojnica</t>
  </si>
  <si>
    <t>SC Adapter (spojnica) x 12 kom</t>
  </si>
  <si>
    <t>optički konektor - pigtail SC MM (multimode) 50/125u x 24 kom</t>
  </si>
  <si>
    <t>splice kazete za po 12 niti x2 kom</t>
  </si>
  <si>
    <t>Dobava, montaža i spajanje unilan Patch panel CSA 24/8 Cat 6/Ea oklopljen (10 Gbase-T)  za računalnu mrežu = 3 kom</t>
  </si>
  <si>
    <t>Dobava i montaža dodatnih polica za opremu i računalnu opremu = 2 kom</t>
  </si>
  <si>
    <t>UPS 1500VA = 1 kom</t>
  </si>
  <si>
    <t>Oznake, sitni montažni pribor i materijal = 1 kpl</t>
  </si>
  <si>
    <t xml:space="preserve">Komunikacijski ormar +1BD1 </t>
  </si>
  <si>
    <r>
      <rPr>
        <b/>
        <sz val="10"/>
        <rFont val="Calibri"/>
        <family val="2"/>
      </rPr>
      <t xml:space="preserve">Komunikacijski ormar +0FD1/+0FD3/+3FD2
</t>
    </r>
    <r>
      <rPr>
        <sz val="10"/>
        <rFont val="Calibri"/>
        <family val="2"/>
      </rPr>
      <t>uključivo pasivna oprema:</t>
    </r>
  </si>
  <si>
    <t>Samostojeći serverski ormar (19HE) - 600(š)x600(d)x500+100(v) mm s ugrađenim prednjim i stražnjim vertikalnim nosačima za ugradnju 19" opreme (2 para), s ugrađenom ventilatorskom jedinicom i termostatom, setom za uzemljenje i kompletom od 150 matica i vijaka za učvrščenje 19" opreme = 1 kpl</t>
  </si>
  <si>
    <t>Dobava i montaža dodatne 7xUPS-mrežne letvice crvene boje = 1 kom</t>
  </si>
  <si>
    <t>Dobava, montaža i spajanje optičkog patch panela visine 1U, s prednjom pločom za 12 x SC-duplex spojnica = 1 kpl</t>
  </si>
  <si>
    <t>Dobava, montaža i spajanje unilan Patch panel CSA 24/8 Cat 6/Ea oklopljen (10 Gbase-T)  za računalnu mrežu = 2 kom</t>
  </si>
  <si>
    <t>Dobava i montaža dodatnih polica za opremu i računalnu opremu = 1 kom</t>
  </si>
  <si>
    <t>Komunikacijski ormar +0FD1/+0FD3/+3FD2</t>
  </si>
  <si>
    <r>
      <rPr>
        <b/>
        <sz val="10"/>
        <rFont val="Calibri"/>
        <family val="2"/>
      </rPr>
      <t xml:space="preserve">Komunikacijski ormar +1FD3/+3FD3
</t>
    </r>
    <r>
      <rPr>
        <sz val="10"/>
        <rFont val="Calibri"/>
        <family val="2"/>
      </rPr>
      <t>uključivo pasivna oprema:</t>
    </r>
  </si>
  <si>
    <t>Samostojeći serverski ormar (21HE) - 600(š)x600(d)x1000+100(v) mm s ugrađenim prednjim i stražnjim vertikalnim nosačima za ugradnju 19" opreme (2 para), s ugrađenom ventilatorskom jedinicom i termostatom, setom za uzemljenje i kompletom od 150 matica i vijaka za učvrščenje 19" opreme = 1 kpl</t>
  </si>
  <si>
    <t>Komunikacijski ormar +1FD3/+3FD3</t>
  </si>
  <si>
    <r>
      <rPr>
        <b/>
        <sz val="10"/>
        <rFont val="Calibri"/>
        <family val="2"/>
      </rPr>
      <t xml:space="preserve">Komunikacijski ormar +1FD2/+2FD2/+2FD3
</t>
    </r>
    <r>
      <rPr>
        <sz val="10"/>
        <rFont val="Calibri"/>
        <family val="2"/>
      </rPr>
      <t>uključivo pasivna oprema:</t>
    </r>
  </si>
  <si>
    <t>Samostojeći serverski ormar (27HE) - 600(š)x600(d)x1400+100(v) mm s ugrađenim prednjim i stražnjim vertikalnim nosačima za ugradnju 19" opreme (2 para), s ugrađenom ventilatorskom jedinicom i termostatom, setom za uzemljenje i kompletom od 150 matica i vijaka za učvrščenje 19" opreme = 1 kpl</t>
  </si>
  <si>
    <t>Komunikacijski ormar +1FD2/+2FD2/+2FD3</t>
  </si>
  <si>
    <t>Dobava module Real10 CAT6, 1 x RJ45 S/FTP R&amp;M</t>
  </si>
  <si>
    <t>Dobava i ugradanja  adaptera za R&amp;M modul</t>
  </si>
  <si>
    <t xml:space="preserve">Montaža i spajanje modula S/FTP  i adaptera s numeracijom </t>
  </si>
  <si>
    <t>Dobava i polaganje 4 paričnog S/FTP kabela Cat.7 (klasa E) R&amp;M, samogasivi, bez halogena (LSOH), usklađena tehnička specifikacija HRN EN. Kabel se polaže u parapetne kanale i PNT cijevi na visini do 8m</t>
  </si>
  <si>
    <t>Dobava i polaganje optičkog kabela 
MM 4 niti 62,5/125µm</t>
  </si>
  <si>
    <t xml:space="preserve">Dobava i ugradnja  PATCH kabla Cat6/s 1-3 m  - sivi </t>
  </si>
  <si>
    <t>Mjerenje i izdavanje certifikata o izvršenom mjerenju kvalitete instaliranih S/FTP veza kalibriranim instrumentom, sukladnost izmjerenih vrijednosti s vrijednostima prema normi ISO/IEC11801:2002 2nd edition za ClassE,odnosno TIA/EIA 568-B.1:2001  ili jednakovrijedno __________, za Cat.6 "Permanent Link".
Rezultate dostaviti u elektroničkom obliku s odgovarajućim oznakama.</t>
  </si>
  <si>
    <t>Mjerenje i izdavanje certifikata o izvršenom mjerenju kvalitete instaliranih multi modnih optičkih veza. Mjerenja obaviti dvosmjerno i za obje valne dužine  850 nm i 1300 nm. Rezultate dostaviti u pisanom i elektroničkom obliku investitoru.</t>
  </si>
  <si>
    <t>Električna instalacija multimedija</t>
  </si>
  <si>
    <t>Dobava, isporuka  montaža i spajanje Interaktivnog monitora 85" s ugrađenim OPS računalom te  pripadajućim zidnim nosačem. Stavka uključuje sav potreban spojni i montažni materijal.</t>
  </si>
  <si>
    <t>Minimalni tehnički uvjeti - kriterij kvalitete:</t>
  </si>
  <si>
    <t>Interaktivni monitor, dijagonale min 85", rezolucije min: 4K UHD (3840x2160@60Hz), ekran TFT LCD (Direct LED Backlight), format slike 16:9, dimenzije slike min: 1895x1066mm, vrijeme odziva max: 8ms, životni vijek: 50.000 sati, kut gledanja min:178 stupnjeva, kontrast min: 4000:1, Interaktivnost: Vellum tehnologija pisanja, vrijeme odziva min: 10ms, točnost dodira 1mm, minimalno 20 točaka dodira, pisanje olovkom, dodirom, dlanom. kompatibilnost: Windows® 8 do 11; OS X® 10.8 do 10.11; macOS® Sierra 10.12.1 ili kasnije; Linux® Ubuntu® 18.04 LTS; Chrome OS™, priključci: OPS slot x 1, HDMI x 2 (iza), HDMI x 1 (sprijeda), HDMI izlaz x 1, USB-A 2.0 (iza) x 1, USB-A 2.0 (straga) x 1, USB-Touch (1 x sprijeda, 1 x straga), LAN ulaz, LAN izlaz, RS232, Wi-Fi modul uključen (IEEE® 802.11a/b/g/n/ac/ax podržan Wi-Fi 6), VGA i audio ulaz, Mikrofonski ulaz 3.5mm, izlaz za slušalice.  RAM: min 6GB , unutarnja pohrana: min 64GB, CPU: ARM Cortex A73, GPU: ARM Mali-G52, ugrađeni zvučnici min 2 x 17W te subwoofer min 1x10W napajanje: 100-240VAC, potrošnja max 200W, potrošnja mirovanja: manja od 0,5W, dim. monitora: max 1975x1209x89mm odstupanje +/- 3%, težina max 80kg odstupanje +/- 3%. nosač: VESA točke montaže 800x600, komplet s ugrađenim ops računalom s Win 10 Pro, min 16Gb RAM, i7 procesorom ili bolje.</t>
  </si>
  <si>
    <t>Nudi se proizvođač/model __________.</t>
  </si>
  <si>
    <t>Dobava isporuka i  montaža aktivnog zvučničkog seta. Stavka uključuje sav potreban spojni i montažni materijal.</t>
  </si>
  <si>
    <t>Aktivni zvučnički set koji se sastoji od aktivnog i pasivnog dvopojasnog zvučnika, aktivni zvučnik (sa ugrađenim pojačalom) 2 x 20W (2 x 40W), minimalne vrijednosti osjetljivosti 89dB 1W/1m, minimalne vrijednosti maksimalnog zvučnog tlaka 105dB/FP/1m, frekvencijskog opsega 80Hz-20kHz, sa ulazima za balansirani stereo (terminal blok) i nebalansirani stereo (3,5mm), napajanje 100-240V/50-60Hz, zvučnici dvopojasni, 5"LF + 1"HF, kuta pokrivenosti najmanje 210 H i 205 V stupnjeva, dimenzija 150x240x150, težine 3,5kg (set), pribor: nosač za montažu na zid</t>
  </si>
  <si>
    <t>Dobava, montaža i spajanje zidnog upravljača za aktivni zvučnički set. Stavka uključuje sav potreban spojni i montažni materijal.</t>
  </si>
  <si>
    <t>Zidni upravljač za aktivni zvučnički set, stereo linijski ulaz, mikrofonski ulaz, linijski i mikrofonski ulaz za fiksno spajanje sa stražnje strane, BT prijemnik, odvojene kontrole ulaznog nivoa za linijski i mikrofonski ulaz, Phantom napajanje (DIP preklopnik), DIP preklopnici za Low-cut,izlazni nivo BT i mono/stereo. Priključci: 1x3,5mm stereo, 1xXLR ulazni 6-pin terminal blok, izlazni 8-pin terminal blok, dimenzije 80x80mm</t>
  </si>
  <si>
    <t>Dobava, montaža i spajanje video kolaboracijskog seta. Stavka uključuje sav potreban spojni i montažni materijal.</t>
  </si>
  <si>
    <t>Kolaboracijski uređaj s ugrađenim zvučnicima 20W te kamerom s četiri puta digitalnim zoom-om, video do 4K30, širina polja pogleda 110 stupnjeva, auto kadriranje i praćenje govornika, ugrađen mikrofonski niz od četiri mikrofona, ugrađen Bluetooth za povezivanje s tabletom ili pametnim telefonom.</t>
  </si>
  <si>
    <t xml:space="preserve">Dobava, montaža i spajanje zidne priključne kutije interaktivnog ekrana  s nosačem, okvirom i potrebnim modulima </t>
  </si>
  <si>
    <t>priključno mjesto, podžbukna izvedba, komplet sadrži  podžbuknu ugradnu kutiju, nosač, okvir te module:
 2x2P+E, 1xhdmi adapter, 1x jack 3.5, 1xRJ45</t>
  </si>
  <si>
    <t xml:space="preserve">Dobava, montaža i spajanje podžbukne priključne zidne kutije aktivnog zvučnika s nosačem, s okvirom i potrebnim modulima </t>
  </si>
  <si>
    <t>priključno mjesto, podžbukna izvedba, komplet sadrži  podžbuknu ugradnu kutiju, nosač, okvir te module:
 1x2P+E, 1x jack 3.5, 1xRJ45, 1x Blind</t>
  </si>
  <si>
    <t xml:space="preserve">Dobava, montaža i spajanje podžbukne priključne zidne kutije za spajanje interaktivnog ekrana s HDMI uređajem, s okvirom i potrebnim modulima </t>
  </si>
  <si>
    <t>priključno mjesto, podžbukna izvedba, komplet sadrži  podžbuknu ugradnu kutiju, nosač, okvir te module:
 2x2P+E, 1xHDMI</t>
  </si>
  <si>
    <t>Dobava i polaganje finožičnog balansiranog audio signalnog kabela</t>
  </si>
  <si>
    <t>finožični signalni audio kabel s dva uvijena vodiča presjeka minimalno  0.123mm2 i oklopom vanjskog promjera do 3.5mm</t>
  </si>
  <si>
    <t>Dobava i polaganje zvučničkog kabela</t>
  </si>
  <si>
    <t xml:space="preserve">zvučnički kabel 2x1.5mm2 </t>
  </si>
  <si>
    <t>Dobava i polaganje nebalansiranog audio signalnog kabela jack 3.5mm duljine 0.7m</t>
  </si>
  <si>
    <t>audio signalni kabel s jack 3.5mm konektorom s jedne i druge strane vanjskog promjera 4mm.</t>
  </si>
  <si>
    <t>Ispitivanje linija, terminacija kabela, spajanje i povezivanje aktivne opreme, puštanje u rad, obuka korisnika na lokaciji</t>
  </si>
  <si>
    <t>Passivni zvučnici 100V razglasa, minimalnih dimenzija, zamjena postoječih zvučnika 
pribor: nosač za montažu na zid</t>
  </si>
  <si>
    <t>Dobava, isporuka i montaža kamere za vanjsku montažu sljedećih karakteristika:</t>
  </si>
  <si>
    <t>• IP bullet AI WizSense kamera 
• 5 Mpx rezolucija
• True WDR 120 dB, 3D DNR, HLC, BLC
• objektiv 2.8 mm
• razlikovanje ljudi i vozila
• detekcija uljeza, prolaz linije
• alarm ulaz/izlaz, audio ulaz/izlaz
• microSD utor, max. 256GB
• IR LED domet 50 m, IP67 zaštita od vode i prašine
• napajanje 12 VDC/ PoE
• podržava video analitiku, SMD plus</t>
  </si>
  <si>
    <t>Električna instalacija zaštite od udara munje</t>
  </si>
  <si>
    <t>Dobava i postava gromobranskog odvoda na krovu i pročelju objekta, s pričvrsnim priborom, bakar (Cu), vodič promjera 8mm</t>
  </si>
  <si>
    <t>Dobava i postava izolirane loveće Cu palice dužine 2,0m</t>
  </si>
  <si>
    <t>Dobava i postava montažni pričvršćujući komplet za postavljanje lovećih Cu palica po sljemenu krov</t>
  </si>
  <si>
    <t>Dobava i postava sljemenski nosač Cu žica promjera 8mm, univerzalan za krovni obujmeni nosač</t>
  </si>
  <si>
    <t>Dobava i postava nosač Cu žica promjera 8mm, univerzalan za kose krovov</t>
  </si>
  <si>
    <t>Dobava i postava nosač Cu žica promjera 8mm, univerzalan za postavu na pročeljima objekata od opeke ili betona</t>
  </si>
  <si>
    <t>Okomita Cu zaštita primjerena za šuplje zidove s izolacijom do 140 mm, sa pričvrsnim priborom</t>
  </si>
  <si>
    <t>Dobava i postava profila (Cu) za povezivanje metalne mase odvoda krovnih voda, snjegobrana i sl.</t>
  </si>
  <si>
    <t>Dobava i postava cijevna obujmica Cu, namjenjena je pričvršćivanju vodića okruglog presjeka na olučne cijevi. Pričvršćivanje vodića na cijevnu obujmicu bez vijaka (n-nylon držač)</t>
  </si>
  <si>
    <t>Dobava i postava mjerna križna spojnica namijenjena izvedbi mjernih i ostalih spojeva između okruglih i plosnatih vodiča do širine 30 mm u zemlji i nad njom
sa umetkom za spoj inox trake i Cu žice</t>
  </si>
  <si>
    <t>Dobava i postava zidnog mjernog ormarića sa inox okvirom i vratima</t>
  </si>
  <si>
    <t>Dobava i postava štapna sonda, izrađena od nehrđajuće lima, namijenjena izradi štapnih uzemljivača i sanacijama dotrajinoxih uzemljivača
Sonda se sastoji od dva ravna komada 1500mm, spojnice za sonde, vrha za probijenje, te spojnice na vrhu za traku</t>
  </si>
  <si>
    <t>Dobava i postava trake Rf 30x3,5mm za potrebe izvedbe uzemljivača. Postava u rov u zemlji na odstojnike i zaštita mršavim betonom
U cijenu uračunati spojnice za spajanje trake međusobno i na sonde</t>
  </si>
  <si>
    <t>Fleksibilni povezni element različite dimenzije. Namijenjen povezivanju pojedinih metinoxnih dijelova gromobranske instinoxacije i za spajanje na loveće vodiče pri visokim temperaturnim razlikama i s time rastezanjem materijinoxa.</t>
  </si>
  <si>
    <t>Potrošni materijinox za izradu gromobranske instinoxacije na predmetnom objektu, skela i drugi elemnti za rad na visini, spajanje metinoxnih masa neelektričnih uređaja na gromobransku instinoxciju i dr. …</t>
  </si>
  <si>
    <t>Ispitivanje otpora uzemljenja temeljnog uzemljivača prije početka radova</t>
  </si>
  <si>
    <t>Niskonaponski priključka objekta</t>
  </si>
  <si>
    <t>Izrada prodora za ugradnju dvije brtvenice za uvod napojnog kabela HEP-a, NAYY 4x150mm2</t>
  </si>
  <si>
    <t>Dobava i ugradnja uvodnice za uvođenje dva kabela NAYY 4x150mm2</t>
  </si>
  <si>
    <t>Dobava i ugradnja svornjaka za uvod izjednačenja potencijala u objekt, sa vanjske strane spoj na traku uz napojni kabel sa unutarnje strane spoj na P/F vodič</t>
  </si>
  <si>
    <t>Video portafonski sustav za glavni ulaz</t>
  </si>
  <si>
    <t>Vanjska jedinica za nadgradnu montažu, IP55 s kamerom u boji, dvije pozivne tipke, dvosmjernom audio komunikacijom, kodnom tipkovnicom, relejnim izlazom za otvaranje vrata, …
Komunikacija i slika prema info pultu i/ili 24h dežurstvu. Visina montaže 90-120 cm.</t>
  </si>
  <si>
    <t>Unutarnja jedinica za nadgradnu montažu na stol, LCD ekranom u boji 7", pozivnom tipkom, dvosmjernom audio komunikacijom, tipkom za otvaranje vrata, … prema tri vanjska pozivna panela</t>
  </si>
  <si>
    <t>Elektroprihvatnik pod naponom otključano, naponskog nivoa usklađenog s videoportafonskim sustavom (12 / 24VDC)</t>
  </si>
  <si>
    <t>Sustav za napajanje, licence i drugo, te kabelsko ožićenje između vanjske i unutarnjih jedinica, udaljenost do 30 m.</t>
  </si>
  <si>
    <t>Uređaj za besprekidno napajanje, 
UPS, za računalnu mrežu (on line):</t>
  </si>
  <si>
    <t>ulazni napon 400V, 50Hz</t>
  </si>
  <si>
    <t>izlazni napon 400V, 50Hz</t>
  </si>
  <si>
    <t>izlazna snaga minimalno 6000W</t>
  </si>
  <si>
    <t>autonomija min. 5 minuta pod 80% opterećenja</t>
  </si>
  <si>
    <t>minimalna razina buke, smještaj u uredski prostor</t>
  </si>
  <si>
    <t>puštanje u rad, obuka korisnika</t>
  </si>
  <si>
    <t>ostalo</t>
  </si>
  <si>
    <t>Izrada šliceva u zidu od opeke i/ili betona za potrebe polaganja kabelske instalacije, s grubim zatvaranjem šliceva, uključivo odnos šute sa gradilišta</t>
  </si>
  <si>
    <t>Izrada prodaora za polaganje kabelske instalacije u zidovima od cigle i/ili AB zidovima i podovima, uključivo odnos šute sa gradilišta (prodori do promjera 50mm u cijeni su polaganja kabelske instalacije)</t>
  </si>
  <si>
    <t>Izrada brtvljenja prodora SVIH električnih instalacija na granicama požarnih sektora vatrootpornim materijalama 90 minuta, te izrada elaborata brtvljenja i postavljanje oznaka u prostoru</t>
  </si>
  <si>
    <t>ispitivanja i izvedeno stanje</t>
  </si>
  <si>
    <t>Isptivanje izvedenih električnih instalacija i instalacija zaštite od udara munje s izdavanjem protokola, te mjerenje nivoa osvjetljenosti sukladno Zakonu o zaštiti na radu, za potrebe obavljanja tehničkog pregleda izvedenih radova</t>
  </si>
  <si>
    <t>Izrada projekta izvedenog stanja i shema spajanja razdjelnika na papiru i na CD-u, u četiri primjerka, ovjereno po ovlaštenom projektantu</t>
  </si>
  <si>
    <t>Obuka predstavnika investitora za sve sustave obuhvaćene ovim troškovnikom, uključivo izradu uputstava za rad na hrvatskom jeziku</t>
  </si>
  <si>
    <t>INSTALACIJA VATRODOJAVA</t>
  </si>
  <si>
    <t>Sva oprema mora biti u skladu s normom HRN-EN54  ili jednakovrijednom __________.</t>
  </si>
  <si>
    <t>Dobava, isporuka i ugradnja vatro otpornog ormara s ventilacijom za smještaj centrale za dojavu požara vatrootpornosti 60 minuta, 
Tehničke karakteristike:
- vatrootpornost: 60 minuta 
- vatrootporno staklo na vratima: 60 minuta
- vanjske dimenzije(VxŠxD): 800x800x300
- unutarnje dimenzije(VxŠxD): 600x660x175
- mehanička brava i 3 ključa: ugrađena protupožarna brava DIN (18250)
- boja: RAL 9010 bijela
- način montaže: na zid
- klasa: IP 30</t>
  </si>
  <si>
    <t xml:space="preserve">Nabava, isporuka, ugradnja i programiranje vatrodojavne centrale sljedećih tehničkih karakteristika: 
Modularna mikroprocesorska centrale za dojavu požara
- do 16 petlji za prihvat analogno-adresabilnih javljača
- do 3500 elemenata
- maksimalno 250 adresa na petlji
- TCP/IP konekcija na centrali
- MODBUS komunikacija preko TCP/IP sučelja
- indikacijsko-upravljačka tipkovnicom s TFT 5.7" ekranom u boji
- dimenzije: 470 x 670 x 230 mm
- prostor za rezervno napajanje do 2 x 12V/45Ah
- kapacitet baterija :   max. 2 x 12 V/2x24 Ah </t>
  </si>
  <si>
    <t>Nabava, isporuka i ugradnja  modula za spoj vatrodjavne centrale na LAN i RS485 konunikaciju
- 2x RS485,
- 2x 100Base-TX
- za montažu u vatrodojavnu centralu SCP3000</t>
  </si>
  <si>
    <t>Nabava i ugradnja aku baterija rezervnog napajanja 12 VDC / 45Ah.</t>
  </si>
  <si>
    <t>Nabava, isporuka, ugradnja i programiranje modula za spoj 2 adresabilne petlje
- izlazni napon 30 ±3% VDC
- radna struja 35mA
- za montažu u vatrodojavnu centralu SCP3000</t>
  </si>
  <si>
    <t xml:space="preserve">Nabava, isporuka i ugradnja multikriterijskog javljača požara
- adresabilni element na SecuriLine petlji
- zadovoljava standard EN54-7, EN54-5, EN54-29
- može raditi kao optički, termički ili kombinirano kao optičko-termički javljač
- radni napon 7 to 31 VDC
- potrošnja maksimalno 0,15mA
- radna temperatura -25 do +60 °C </t>
  </si>
  <si>
    <t>Nabava, isporuka i ugradnja standardnog podnožja javljača požara uključivo pločice za oznake i oznake</t>
  </si>
  <si>
    <t>Nabava, isporuka, ugradnja i programiranje
paralelnog indikatora
- spaja se direktno na vatrodojavni javljač
- dimenzije: 85 x 85 x 30 mm
- stupanj zaštite IP42
- radni napon 5 to 30 VDC</t>
  </si>
  <si>
    <t xml:space="preserve">Nabava, isporuka, ugradnja i programiranje
ručnog javljača požara
- adresabilni element na SecuriLine petlji
- zadovoljava standard EN54-7, EN54-5, EN54-29
- stupanj zaštite IP24
- radni napon 7 to 31 VDC
- potrošnja maksimalno 0,12mA
- radna temperatura -10 do +55 °C </t>
  </si>
  <si>
    <t xml:space="preserve">Nabava, isporuka, ugradnja i programiranje
ulazno-izlaznog modula sa montažnom kutijom stupnja zaštite IP66
- adresabilni element na SecuriLine petlji
- 4 nadzirana ulaza
- 2 relejna izlaza 0,25A/230VAC
- zadovoljava standard EN54-17, EN54-18
- radni napon 12 to 30 VDC
- potrošnja maksimalno 0,63mA
- radna temperatura -20 do +60 °C </t>
  </si>
  <si>
    <t>Nabava, isporuka, ugradnja i programiranje
ulazno-izlaznog modula za spoj koektivnih javljača požara
- adresabilni element na SecuriLine petlji
- 1 ulaz za spoj kolektivnih javljača požara
- zadovoljava standard EN54-17, EN54-18
- radni napon 12 to 30 VDC
- potrošnja maksimalno 0,45mA
- radna temperatura -20 do +60 °C 
- uključena montažna kutija IP66</t>
  </si>
  <si>
    <t>Nabava, isporuka, ugradnja i programiranje
izlaznog  modula za spoj koektivnih javljača požara
- adresabilni element na SecuriLine petlji
- 4 relejna izlaza 0,25A/230VAC ili 2.5A/24V
- zadovoljava standard EN54-17, EN54-18
- radni napon 12 to 30 VDC
- potrošnja maksimalno 0,51mA
- radna temperatura -20 do +60 °C 
- uključena montažna kutija IP66</t>
  </si>
  <si>
    <t>Nabava, isporuka, ugradnja i programiranje
ulaznog modula za spoj koektivnih javljača požara
- adresabilni element na SecuriLine petlji
- 4 nadzirana ulaza
- zadovoljava standard EN54-17, EN54-18
- radni napon 12 to 30 VDC
- potrošnja maksimalno 0,45mA
- radna temperatura -20 do +60 °C 
- uključena montažna kutija IP66</t>
  </si>
  <si>
    <t>Nabava, isporuka, ugradnja i programiranje
Zenner barijere</t>
  </si>
  <si>
    <t>Nabava, isporuka, ugradnja i programiranje
optičkog javljača za Ex prostor
- spoj preko Zenner barijere
- kolektivni javljač požara
- uključeno podnožje</t>
  </si>
  <si>
    <t>Nabava, isporuka, ugradnja i programiranje
adresabilne sirene
- adresabilni element na SecuriLine petlji
- zadovoljava standard EN54-3, EN54-17
- stupanj zaštite IP21
- jačina zvuka na 1m: 89dB (slabo) ili 99dB (jako)
- radni napon 12 to 30 VDC
- potrošnja maksimalno 0,5mA
- radna temperatura -10 do +55 °C</t>
  </si>
  <si>
    <t xml:space="preserve">Nabava, isporuka, ugradnja i programiranje
adresabilne bljeskalice
- adresabilni element na SecuriLine petlji
- zadovoljava standard EN54-3, EN54-17
- stupanj zaštite IP21
- brzina bljeska 0.5Hz (sporo) ili 1Hz (brzo)
- radni napon 12 to 30 VDC
- potrošnja maksimalno 0,5mA
- radna temperatura -10 do +55 °C </t>
  </si>
  <si>
    <t xml:space="preserve">Nabava, isporuka, ugradnja i programiranje
 vanjske alarmne sirene s bljeskalicom  sljedećih minimalnih karakteristika:
- zadovoljava standard EN54-3, EN54-23
- stupanj zaštite IP65
- jačina zvuka 97dB
- brzina bljeska 0.5Hz (sporo) ili 1Hz (brzo)
- radni napon 17 to 60 VDC
- potrošnja maksimalno 0,5mA
- radna temperatura -10 do +55 °C </t>
  </si>
  <si>
    <t xml:space="preserve">Nabava, isporuka, ugradnja i programiranje adresabilnog kanalnog javljača požara sljedećih minimalnih karakteristika:
- adresabilni element na SecuriLine petlji
- zadovoljava standard EN54
- stupanj zaštite IP54
- duljina usisne cijevi 140 – 345 mm
- radni napon 12 to 31 VDC
- potrošnja maksimalno 0,15mA
- radna temperatura -25 do +60 °C
</t>
  </si>
  <si>
    <t>Nabava, isporuka i ugradnja filtera za venturijevu komoru.</t>
  </si>
  <si>
    <t>Nabava, isporuka i ugradnja venturijeve cijevi za ventilacijske kanale 1,5m.</t>
  </si>
  <si>
    <t xml:space="preserve">Nabava, isporuka, ugradnja i spajanje kompleta za telekomunikacijsku dojavu, a koji se sastoji od: </t>
  </si>
  <si>
    <t>1.Telekomunikator
2.GSM / GPRS telekomunikatora
3.  kučišta za smještaj telekomunikatora
4. napajanja/punjača
5. aku baterija 12VDC/17Ah
6. priključne ploče za prihvat/odašiljanje signala požara i greške s/na centralu sustava dojave požara</t>
  </si>
  <si>
    <t>Nabava rezervnog staklo za ručni javljač.</t>
  </si>
  <si>
    <t>Nabava natpisa za ručne javljače "izvan upotrebe".</t>
  </si>
  <si>
    <t>Dobava i isporuka s polaganjem vatrodojavnog kabela JE-H(St)H E30-E90 1x2x0,8</t>
  </si>
  <si>
    <t>Dobava i isporuka s polaganjem vatrodojavnog kabela JEB-H(st)H 2x2x0,8 E30</t>
  </si>
  <si>
    <t>Dobava i isporuka s polaganjem instalacijske cijevi fi16mm s obujmicama i ostalim priborom  PNT 13,5 s izradom proboja kroz zidove debljine 30cm</t>
  </si>
  <si>
    <t>Programiranje i puštanje u rad vatrodojavnog sustava</t>
  </si>
  <si>
    <t>Obuka korisnika i izdavanje uputstva na hrvatskom jeziku.</t>
  </si>
  <si>
    <t>Prvo ispitivanje sustava za dojavu požara od strane ovlaštene ustanove s izdavanjem uvjerenja</t>
  </si>
  <si>
    <t>Izrada projekta izvedenog stanja u tri primjerka s ovjerom ovlaštenog projektanta i izdavanjem mišljenja projektanta glavnog projekta</t>
  </si>
  <si>
    <t xml:space="preserve">R E K A P I T U L A C I J A:  </t>
  </si>
  <si>
    <t>ELEKTROTEHNIČKE INSTALACIJE ukupno</t>
  </si>
  <si>
    <t>F</t>
  </si>
  <si>
    <t>TROŠKOVNIK ELEKTROTEHNIČKIH INSTALACIJA</t>
  </si>
  <si>
    <t>RADOVI ELEKTROTEHNIČKIH INSTALACIJA UKUPNO:</t>
  </si>
  <si>
    <t>RASVJETNA TIJELA I ELEMENTI UPRAVLJANJA</t>
  </si>
  <si>
    <t>G</t>
  </si>
  <si>
    <t>RADOVI ELEKTROTEHNIČKIH INSTALACIJA UKUPNO</t>
  </si>
  <si>
    <t>H.</t>
  </si>
  <si>
    <t>Dobava isporuka i  montaža zvučnika, zamjena psotojećih zvučnika. Boja prema odabiru projektanta. Stavka uključuje sav potreban spojni i montažni materijal.</t>
  </si>
  <si>
    <t>Dobava i ugradba betona za betoniranje armiranobetonskih serklaža na vrhu vijenca dimenzija 20/30 cm, klase C25/30, zrno 16 mm, klase izloženosti XC1, u potrebnoj oplati. Armirati prema statičkom proračunu i planu savijanja armature. U cijenu su uključeni svi distanceri i držači armature. Prilikom betoniranja ugraditi sve elemente predviđene za ugradbu (nosači, oprema, instalacije i sl.). Sve prema pravilima struke. Kompletan rad, transport betona, materijal. Obračun betona po m3 i oplate po m2. Armatura iskazana u posebnoj stavci.</t>
  </si>
  <si>
    <t>Razgradnja vrha vijenca.</t>
  </si>
  <si>
    <t>Razgradnja vrha zidanog zida visine 20 cm i širine 30 cm u potkrovlju uz korištenje odgovarajućih alata. Stavka uključuje usitnjavanje ruševina, vertikalni i horizontalni transport,  utovar i odvoz na deponij. Izvesti pažljivo kako se ne bi oštetili dijelovi konstrukcije i susjedne plohe koji se ne ruše.</t>
  </si>
  <si>
    <t>Dobava materijala, radionička izrada, antikorozivna zaštita i montaža dodatnih čeličnih elemenata oko svjetlika u potkrovlju. Izvedba u kvaliteti EXC2.</t>
  </si>
  <si>
    <t>Dobava materijala, radionička izrada, antikorozivna zaštita i montaža dodatnih čeličnih elemenata oko stubišta u potkrovlju. Izvedba u kvaliteti EXC2.</t>
  </si>
  <si>
    <t>Boris Kuzmanović, dipl.ing.el.</t>
  </si>
  <si>
    <t>lipanj 2025.</t>
  </si>
  <si>
    <t>REKONSTRUKCIJA I OBNOVA POSTOJEĆE GRAĐEVINE</t>
  </si>
  <si>
    <t>Potrebno je snimiti gabarite i geometriju postojećeg krovišta sa svim karakterističnim detaljima jer se novo krovište izvodi u identičnim gabaritima.</t>
  </si>
  <si>
    <r>
      <t xml:space="preserve">Izrada spuštenog stropa od dvostrukih gips-kartonskih ploča, debljine 2x12,5 mm,  na tipskoj čeličnoj podkonstrukciji od nosive i montažne podkonstrukcije iz pocinčanih čeličnih profila koja se ovjesnim elementima učvršćuje na nosivu konstrukciju. 
Stavka uključuje izvedbu spoja s vertikalnim konstrukcijama prema izvedbenom detalju </t>
    </r>
    <r>
      <rPr>
        <sz val="10"/>
        <color rgb="FFFF0000"/>
        <rFont val="Calibri"/>
        <family val="2"/>
        <charset val="238"/>
        <scheme val="minor"/>
      </rPr>
      <t>D28</t>
    </r>
    <r>
      <rPr>
        <sz val="10"/>
        <rFont val="Calibri"/>
        <family val="2"/>
        <scheme val="minor"/>
      </rPr>
      <t xml:space="preserve"> te obradu svih prodora i otvora za ugradnju instalacija i uređaja .
U cijenu uključeno bandažiranje i gletanje spojeva  i priprema za izvedbu soboslikarskih radova. Stavka obuhvaća nabavu svog potrebnog materijala, dovoz te sav potreban rad ljudi i strojeva i korištenje radnih skela.</t>
    </r>
  </si>
  <si>
    <r>
      <t xml:space="preserve">Izrada spuštenog stropa od dvostrukih impregniranih vlagootpornih gips-kartonskih ploča, debljine 2x12,5 mm,  na tipskoj čeličnoj podkonstrukciji od nosive i montažne podkonstrukcije iz pocinčanih čeličnih profila koja se ovjesnim elementima učvršćuje na nosivu konstrukciju. 
Stavka uključuje izvedbu spoja s vertikalnim konstrukcijama prema izvedbenom detalju </t>
    </r>
    <r>
      <rPr>
        <sz val="10"/>
        <color rgb="FFFF0000"/>
        <rFont val="Calibri"/>
        <family val="2"/>
        <charset val="238"/>
        <scheme val="minor"/>
      </rPr>
      <t>D28</t>
    </r>
    <r>
      <rPr>
        <sz val="10"/>
        <rFont val="Calibri"/>
        <family val="2"/>
        <scheme val="minor"/>
      </rPr>
      <t xml:space="preserve"> te obradu svih prodora i otvora za ugradnju instalacija i uređaja .
U cijenu uključeno bandažiranje i gletanje spojeva  i priprema za izvedbu soboslikarskih radova. Stavka obuhvaća nabavu svog potrebnog materijala, dovoz te sav potreban rad ljudi i strojeva i korištenje radnih skela.</t>
    </r>
  </si>
  <si>
    <r>
      <t xml:space="preserve">Izrada spuštenog stropa od dvostrukih gips-kartonskih ploča, debljine 2x12,5 mm,  na tipskoj čeličnoj podkonstrukciji od nosive i montažne podkonstrukcije iz pocinčanih čeličnih profila koja se ovjesnim elementima učvršćuje na nosivu krovnu konstrukciju. 
Stavka uključuje izvedbu spoja s vertikalnim konstrukcijama prema izvedbenom detalju </t>
    </r>
    <r>
      <rPr>
        <sz val="10"/>
        <color rgb="FFFF0000"/>
        <rFont val="Calibri"/>
        <family val="2"/>
        <charset val="238"/>
        <scheme val="minor"/>
      </rPr>
      <t>D28</t>
    </r>
    <r>
      <rPr>
        <sz val="10"/>
        <rFont val="Calibri"/>
        <family val="2"/>
        <scheme val="minor"/>
      </rPr>
      <t xml:space="preserve"> te obradu svih prodora i otvora za ugradnju instalacija i uređaja .
U cijenu uključeno bandažiranje i gletanje spojeva  i priprema za izvedbu soboslikarskih radova. Stavka obuhvaća nabavu svog potrebnog materijala, dovoz te sav potreban rad ljudi i strojeva i korištenje radnih skela.</t>
    </r>
  </si>
  <si>
    <t xml:space="preserve">Dobava, doprema materijala i ugradnja fine paropropusne žbuke. Žbuka se ručno ugrađuje. 
Karakteristike fine žbuke:       
- klasa GP (EN 998-1. ili jednakovrijedno)                                                                                              - maksimalno zrno agregata: min. 0,6 mm              
 - specifična gustoća mort: min. 1.80–1.9 kg/L                                                                                                                                - prionjivost na podlogu: min. 0.2 Mapa (EN 1015-12 ili jednakovrijedan)                                                                             - koeficijent otpornosti na prolaz vodene pare: maks. 15 (EN 1015-19 ili jednakovrijedan)                                                                                                               - toplinska provodljivost: ~0.27 W/mK (EN 1745 ili jednakovrijedan)                                                                                 </t>
  </si>
  <si>
    <t xml:space="preserve">Dobava, doprema materijala  i ugradnja jednokomponentnog mikroarmiranog polimer-cementnog morta, dobre prionjivosti na beton i na ziđe, prema EN 1504 ili jednakovrijedan i premaz EN 998 ili jednakovrijedan. 
Karakteristike morta: 
klasa R2 (EN 1504-3 ili jednakovrijedan),  
klasa M20 EN 998-2 ili jednakovrijedan),
klasa CS IV (EN 998-1 ili jednakovrijedan),                                  
maksimalno zrno agregata: min. 1,4 mm,  
specfična gustoća: min. 1,85 ± 0,05 kg/L (EN 1015-10 ili jednakovrijedan), 
tlačna čvrstoća: min. 22 MPa (EN 1015-11 ili jednakovrijedan), 
tlačni modul elastičnosti: min. 7.6 MPa (EN 13412 ili jednakovrijedan), prionjivost na podlogu: min.0,8 MPa (EN 1015-12 ili jednakovrijedan), kapilarno upijanje: maks. 0.2 kg mE-2minE-0.5 (EN 1015-18 ili jednakovrijedno.)
 </t>
  </si>
  <si>
    <t>Dimnjaci - D29</t>
  </si>
  <si>
    <t xml:space="preserve">Dobava, doprema  i ugradnja zidne keramike u prostoru sanitarija koristeći bijelo deformafilno ljepilo, koje se sastoji od visoko-otpornih cemenata, odabranih silicij/kvarcnih mineralnih punila i posebnih dodataka, uz dodatak namjenskog lateksa.                                  
 Karakteristike ljepila:                                                                                      
- klasa C2TES1 (EN12004 ili jednakovrijednog)                               
 - gustoća: ~1.60 kg/l   
 - početna čvrstoća prionjivosti: min. 2.1 MPa (EN 1348 ili jednakovrijedan)                                                                                   
- čvrstoća prionjivosti nakon djelovanja temperature: 1.7 MPa (EN 1348 ili jednakovrijedan)                                             </t>
  </si>
  <si>
    <t xml:space="preserve">Dobava, doprema  i ugradnja keramike na zid u prostoru gospodarskog spremišta sa WC-om koristeći bijelo deformafilno ljepilo, koje se sastoji od visoko-otpornih cemenata, odabranih silicij/kvarcnih mineralnih punila i posebnih dodataka, uz dodatak namjenskog lateksa.                                  
 Karakteristike ljepila:                                                                                      
- klasa C2TES1 (EN12004 ili jednakovrijednog)                               
 - gustoća: ~1.60 kg/l                                                                                                                       - početna čvrstoća prionjivosti: min. 2.1 MPa (EN 1348 ili jednakovrijedan)     
 -čvrstoća prionjivosti nakon djelovanja temperature: 1.7 MPa (EN 1348 ili jednakovrijedan)                                             </t>
  </si>
  <si>
    <t xml:space="preserve">Dobava, doprema  i ugradnja zidne keramike u prostoru čajne kuhinje koristeći bijelo deformafilno ljepilo, koje se sastoji od visoko-otpornih cemenata, odabranih silicij/kvarcnih mineralnih punila i posebnih dodataka, uz dodatak namjenskog lateksa.                                  
 Karakteristike ljepila:                                                                                      
- klasa C2TES1 (EN12004 ili jednakovrijednog)                               
 - gustoća: ~1.60 kg/l                                                                                                                       
- početna čvrstoća prionjivosti: min. 2.1 MPa (EN 1348 ili jednakovrijedan)       
-ćvrstoća prionjivosti nakon djelovanja temperature: 1.7 MPa (EN 1348 ili jednakovrijedan)                                             </t>
  </si>
  <si>
    <t>Žlijeb- sandučasti - D32</t>
  </si>
  <si>
    <t>Žlijeb- ležeći - D33</t>
  </si>
  <si>
    <t>Žlijeb- viseći - D33</t>
  </si>
  <si>
    <t>Fiksna dvodijelna ostakljena krovna stijena prema shemi bravarske stavke K1 - D30</t>
  </si>
  <si>
    <t>Oznaka sheme: K1 i D30</t>
  </si>
  <si>
    <t>Sjenila u spuštenom stropu - D27</t>
  </si>
  <si>
    <t>a) sjenilo iznad svjetlika - D22 i D25</t>
  </si>
  <si>
    <t>b) sjenilo iznad krovne stijene - D 30</t>
  </si>
  <si>
    <t>a) svjetlik iznad zlatne dvorane - D25</t>
  </si>
  <si>
    <t>Staklena obloga lifta - D20, D21</t>
  </si>
  <si>
    <t>Rukohvat stubišta iz 2. kata u potkovlje prema shemi O4 - D24</t>
  </si>
  <si>
    <t>Ograde u centralnom stubištu prema shemi O5 - D26</t>
  </si>
  <si>
    <t>Ograde u potkrovlju prema shemi O6 i O7 - D22 i D25</t>
  </si>
  <si>
    <t xml:space="preserve">a) građevinski otvor: 155x211 cm
     svijetli otvor:70x210 cm
</t>
  </si>
  <si>
    <t>Garderobni pult sa ugradbenim ormarom - D2</t>
  </si>
  <si>
    <t>Informacijski pult - detalj porte D1</t>
  </si>
  <si>
    <t>Drveni ormari za elektrorazdjelnike - D6</t>
  </si>
  <si>
    <t>Čajna kuhinja - D3</t>
  </si>
  <si>
    <t xml:space="preserve">OGRADA NA OPATIČKOJ ULICI- D34
Pažljiva demontaža, obnova i ponovna montaža postojeće vanjske visoko dekorirane kovane ograde na ogradnom zidu prema Opatičkoj ulici. Sastoji se iz sedam polja osno simetrično raspoređenih između zidanih i kamenih stupova te krila građevine: sasvim bočno po jedno polje dimenzija 125x265cm s ukrasnim nadvišenjem h=85cm, zatim po dva polja dvostruke širine bočnog polja (270x265cm s nadvišenjem h=85cm) te središnjeg s dvokrilnim vratima 270x380cm i ukrasnim nadvišenjem s koloriranim grbom h=115cm. Polja se sastoje iz obodnog okvira iz elemenata kvadratnog presjeka 2x2cm te ispune najviše razine dekoracije iz pretežno volutnih elemenata s florealnim i vegetabilnim ukrasima i završecima. Nadvišenja su iste razine oblikovanja. Krila unutar stiliziranog dovratnika (6x6cm) i nadvoja (10x10cm) su iste razine oblikovanja s punim centralnim poljem na visini kamene baze ograde i podnožjem. </t>
  </si>
  <si>
    <t xml:space="preserve">Za svaku stavku opreme potrebno je predvidjeti dobavu, montažu,  spajanje i funkcionalno ispitivanje. U cijenu je potrebno uračunati potreban montažni materijal, te ostali potrebni pribor i odgovarajuće ateste. Na svu opremu ponuđač mora dati jamstvo u roku od najmanje 2 godine. U slučaju dobave opreme drugih proizvođača, ona mora zadovoljavati tehničke karakteristike predložene opreme. 
Kriterij za jednakovrijednost: tehničke karakteristike ponuđene opreme moraju biti jednake ili bolje od onih predviđenih troškovničkim opisom. Estetske karakteristike  moraju odgovarati predviđenom proizvodu uz odstupanja po dimenzijama do +- 5 %. </t>
  </si>
  <si>
    <t>Dobava, montaža i instalacija DALI uređaja, usklađen s normama HR EN 55015, HR EN 61547, HR EN 60950, te WEEE i RoHS direktivama, atestiran u Hrvatskoj, sa sljedećim karakteristikama:</t>
  </si>
  <si>
    <t>Ukupno:</t>
  </si>
  <si>
    <t>ili jednakovrijedno:</t>
  </si>
  <si>
    <t>Dobava, montaža i instalacija DALI uređaja, usklađen s normama HR EN 61000, HR EN 61547, HR EN 60950, te WEEE i RoHS direktivama, atestiran u Hrvatskoj, sa sljedećim karakteristikama:</t>
  </si>
  <si>
    <t>Dobava, montaža i instalacija montažnog pribora, sa sljedećim karakteristikama:</t>
  </si>
  <si>
    <t>- jednostruko kučište za panele</t>
  </si>
  <si>
    <t>Dobava, montaža i instalacijaLCD upravljačkog panela, usklađen s normama HR EN300328, HRN EN 301489-1, HRN EN60950-1, te WEEE i RoHS direktivama, atestiran u Hrvatskoj, sa sljedećim karakteristikama:</t>
  </si>
  <si>
    <t>Dobava, postava i spajanje Connectivity Servera za kontrolu, upravljanje i konfiguriranje sustava sigurnosne rasvjete, sa sljedećim karakteristikama:</t>
  </si>
  <si>
    <t>- procesor Intel Quad Core 2.90 GHz, UHD Graphic</t>
  </si>
  <si>
    <t>- 8GB DDR4 RAM memorija, 512GB NVMe SSD pohrana</t>
  </si>
  <si>
    <t>- USB 3.2 x 2, 2x SO-DIMM, HDMI, USB-C, Mini DP, WiFi, LAN, Bluetooth 5.2</t>
  </si>
  <si>
    <t>- operativni sustav Win 11</t>
  </si>
  <si>
    <t>Dobava i instalacija industrijskog ethernet preklopnika, atestiran u Hrvatskoj, sa sljedećim karakteristikama:</t>
  </si>
  <si>
    <t>min. 4 x 10/100Mbps, 1 x 100Mbps</t>
  </si>
  <si>
    <t>Dobava i instalacija napajanja za industrijske preklopnike, atestiran u Hrvatskoj, sa sljedećim karakteristikama:</t>
  </si>
  <si>
    <t>Programiranje i puštanje u rad sustava upravljanja rasvjetom, izdavanje protokola o puštanju u pogon</t>
  </si>
  <si>
    <t>Obuka korisnika za rad sa sustavom upravljanje rasvjetom</t>
  </si>
  <si>
    <t>64.</t>
  </si>
  <si>
    <t>65.</t>
  </si>
  <si>
    <t>66.</t>
  </si>
  <si>
    <t>67.</t>
  </si>
  <si>
    <t>68.</t>
  </si>
  <si>
    <t>69.</t>
  </si>
  <si>
    <t>70.</t>
  </si>
  <si>
    <t>71.</t>
  </si>
  <si>
    <t>72.</t>
  </si>
  <si>
    <t>73.</t>
  </si>
  <si>
    <t>74.</t>
  </si>
  <si>
    <t>75.</t>
  </si>
  <si>
    <t>76.</t>
  </si>
  <si>
    <t>77.</t>
  </si>
  <si>
    <t>78.</t>
  </si>
  <si>
    <t>79.</t>
  </si>
  <si>
    <t>80.</t>
  </si>
  <si>
    <t>81.</t>
  </si>
  <si>
    <t>82.</t>
  </si>
  <si>
    <t>83.</t>
  </si>
  <si>
    <t>84.</t>
  </si>
  <si>
    <t xml:space="preserve">Popravak vratnih krila i dovratnika ugrađenog drvenog ormara u sjevernom hodniku glavnog krila u prizemlju, 132x200x48cm. Stavka uključuje uklanjanje površinskih nečistoća i premaza, stolarsko učvršćivanje spojeva, zatvaranje pukotina i oštećenja drva kitanjem i obradom, rekonstrukciju eventualno nedostajućih dijelova, retuš rekonstrukcija i zakita te završno ličenje mat lakom u bijelom tonu. Uključivo čišćenje, popravak i zamjenu nedostajućih (prema postojećim) ili neprimjerenih dijelova okova i kvaka te zaštitu lakom.  Uključivo demontažu i ponovnu montažu krila. </t>
  </si>
  <si>
    <t>Završna podna obloga kabine dizala dimenzije 120x140 cm iz velikoplošne porculanske keramike, ojačana armaturom od staklenih vlakana na poleđini, debljine 5,5 mm, protukliznosti R10</t>
  </si>
  <si>
    <t>Završna obloga kabine dizala</t>
  </si>
  <si>
    <t>Stavka uključuje i pripremu podloge te dobavu i ugradnju ljepila kompatibilnog sa materijalom kabine dizala.</t>
  </si>
  <si>
    <t>Postolja umivaonika</t>
  </si>
  <si>
    <t>Izrada, doprema i montaža postolja umivaonika iz HPL ploča.</t>
  </si>
  <si>
    <t>Izvodi se na potkonstrukciji iz čeličnih profila 30x30 mm. HPL laminat ploča debljine 13 mm sa bijelom jezgrom. Spojevi ploča na "gerung".</t>
  </si>
  <si>
    <t>Dobava, doprema svih osnovnih materijala, spojnog i pričvrsnog pribora i okova te ugradnja i završna obrada je sastavni dio radova  i uključena je u cijenu stavke. Obrada, boja i svi detalji  izvode se nakon potvrde projektanta. U cijenu stavke uključiti komplet sav potreban rad i materijal, prilagoditi instalacijama vodovoda i odvodnje.</t>
  </si>
  <si>
    <t>Obveza izvođača izraditi radionički nacrt i dostaviti glavnom projektantu na kontrolu. Izvođač je obavezan dostaviti uzorke profila, okova pribora, završne obrade i tona na pregled i ovjeru projektantu prije izvedbe stavke. Sve mjere kontrolirati u naravi. Obračun po komadu.</t>
  </si>
  <si>
    <t>za nadgradni umivaonik:</t>
  </si>
  <si>
    <t>90x50x15 cm</t>
  </si>
  <si>
    <t>99x50x15 cm</t>
  </si>
  <si>
    <t>100x50x15 cm</t>
  </si>
  <si>
    <t>105x50x15 cm</t>
  </si>
  <si>
    <t>109x50x15 cm</t>
  </si>
  <si>
    <t>110x50x15 cm</t>
  </si>
  <si>
    <t>za poluupušteni umivaonik:</t>
  </si>
  <si>
    <t>123x20x15 cm</t>
  </si>
  <si>
    <t>199x20x15 cm</t>
  </si>
  <si>
    <t xml:space="preserve">Popravak unutarnjih prozorskih klupčica. Stavka uključuje uklanjanje površinskih nečistoća i premaza, stolarsko učvršćivanje spojeva, zatvaranje pukotina i oštećenja drva kitanjem i obradom, rekonstrukciju eventualno nedostajućih dijelova, retuš rekonstrukcija i zakita te završnu transparentnu zaštitu drva mat lakom. Uključivo čišćenje, popravak i zamjenu nedostajućih (prema postojećim) ili neprimjerenih dijelova te zaštitu lakom. </t>
  </si>
  <si>
    <t>Zatvaranje šliceva u ojačanim zidovima</t>
  </si>
  <si>
    <t xml:space="preserve">Zatvaranje epoksi mortom nužno potrebnih "šliceva" za instalacije i sl. u plohama zidova prethodno ojačanih FRCM sustavom. Preporuka je da se, ako je moguće, instalacije na ovakvim pozicijama vode u žbuci. </t>
  </si>
  <si>
    <t>Okov: sve skrivene spojnice, fronte tip-on bez ručki. 
Završna obrada RAL: 9016 mat, po odobrenju uzorka.</t>
  </si>
  <si>
    <t>350x60x137 cm</t>
  </si>
  <si>
    <t>364x60x137 cm</t>
  </si>
  <si>
    <t>325x60x137 cm</t>
  </si>
  <si>
    <t>915x160x135cm</t>
  </si>
  <si>
    <t>Izrada, doprema i montaža ugradbenih ormara u pretprostoru južnih sanitarija. Fronte od HPL laminat ploča debljine 13 mm sa bijelom jezgrom, a korpusi od iverala 18 mm.</t>
  </si>
  <si>
    <t>Okov: skrivene spojnice fronti ormara, tip-on otvarači fronti</t>
  </si>
  <si>
    <t>100x35x280 cm - D7</t>
  </si>
  <si>
    <t>100x40x321 cm - D8</t>
  </si>
  <si>
    <t>100x40x311 cm - D9</t>
  </si>
  <si>
    <t>Uredski ormar- D4</t>
  </si>
  <si>
    <t xml:space="preserve">Dobava, doprema uredskih ormara uz nadozide u potkrovlju. Korpusi iveral 18 mm, fronte od MDF-a, lakirani mat 19 mm. </t>
  </si>
  <si>
    <t>Klupa- D5</t>
  </si>
  <si>
    <t>Dobava, doprema klupe galerije u potkrovlju. Izvodi se iz HPL ploča na potkonstrukciji iz čeličnih profila 50x50 mm. Klupa od HPL laminat ploča debljine 13 mm sa crnom jezgrom.</t>
  </si>
  <si>
    <t>Ugradbeni ormari</t>
  </si>
  <si>
    <t>Popravak vratnih krila i dovratnika ugrađenog ormara</t>
  </si>
  <si>
    <t>Zaštitna obloga spiralnog stubišta</t>
  </si>
  <si>
    <t xml:space="preserve">Zaštitna obloga spiralnog stubišta iz 2. kata prema potkrovlju. Izvodi se od punih prozirnih polikarbonatnih ploča debljine 8 mm. Ploče zavojite u radijusu 75 cm, promjenjive visine od 0 do cca 205 cm. Detalj će se definirati po montaži spiralnog stubišta. </t>
  </si>
  <si>
    <t>Oblaganje žbukom ekstradosa svoda</t>
  </si>
  <si>
    <t xml:space="preserve">Oblaganje žbukom ekstradosa svoda zlatne dvorane u debljini cca 4 cm tj. prema postojećoj oblozi, na mjestima gdje je postojeća žbuka otpala ili je oštećena. Sastav žbuke će se utvrditi po uzimanju uzoraka i dogovoru s konzervatorskim nadzorom. Uključiti sva potrebna čišćenja i pripremu podloge kao i obradu i ojačanje svih spojeva s postojećom žbukom. </t>
  </si>
  <si>
    <t>Čelična krovna rešetka prema shemi bravarske stavke R6 - D31</t>
  </si>
  <si>
    <t>Obračun po m2 ( sustav od sva sloja i prednamaz).</t>
  </si>
  <si>
    <r>
      <t>m</t>
    </r>
    <r>
      <rPr>
        <i/>
        <vertAlign val="superscript"/>
        <sz val="10"/>
        <rFont val="Arial"/>
        <family val="2"/>
      </rPr>
      <t>2</t>
    </r>
  </si>
  <si>
    <r>
      <t>Nabava, doprema i izvedba hidrauličkog vezanog površinskog završnog sloja mješavine organsko-mineralnog veziva i lomljenog kamenog agregata frakcije 0-8 mm, debljine 6cm - "</t>
    </r>
    <r>
      <rPr>
        <i/>
        <sz val="10"/>
        <rFont val="Arial"/>
        <family val="2"/>
      </rPr>
      <t>STABILIZERA".</t>
    </r>
  </si>
  <si>
    <r>
      <t>Vodonepropusnost i.M. k*:   94,0x10⁻</t>
    </r>
    <r>
      <rPr>
        <sz val="10"/>
        <rFont val="Calibri"/>
        <family val="2"/>
      </rPr>
      <t>⁴</t>
    </r>
  </si>
  <si>
    <t xml:space="preserve"> - srednje koso polje duž.cca 3,3 m (faktor 1,2= 4,95 m²)</t>
  </si>
  <si>
    <t>SADNICE RUŽA A-KVALITETE, 2 l kontejner</t>
  </si>
  <si>
    <t>SADNICE POKRIVAČA TLA A-KVALITETE, 1.5 l kontejner</t>
  </si>
  <si>
    <t xml:space="preserve"> - zasađenog drveća: </t>
  </si>
  <si>
    <t xml:space="preserve"> - zasađenog grmlja, trajnica i penjačica: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</si>
</sst>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44" formatCode="_-* #,##0.00\ &quot;€&quot;_-;\-* #,##0.00\ &quot;€&quot;_-;_-* &quot;-&quot;??\ &quot;€&quot;_-;_-@_-"/>
    <numFmt numFmtId="43" formatCode="_-* #,##0.00_-;\-* #,##0.00_-;_-* &quot;-&quot;??_-;_-@_-"/>
    <numFmt numFmtId="164" formatCode="_-* #,##0.00\ &quot;kn&quot;_-;\-* #,##0.00\ &quot;kn&quot;_-;_-* &quot;-&quot;??\ &quot;kn&quot;_-;_-@_-"/>
    <numFmt numFmtId="165" formatCode="_-* #,##0.00\ _k_n_-;\-* #,##0.00\ _k_n_-;_-* &quot;-&quot;??\ _k_n_-;_-@_-"/>
    <numFmt numFmtId="166" formatCode="\A\.\1&quot;.&quot;\8&quot;.&quot;#,#0#&quot;.&quot;"/>
    <numFmt numFmtId="167" formatCode="\A\.\1&quot;.&quot;\7&quot;.&quot;#,#0#&quot;.&quot;"/>
    <numFmt numFmtId="168" formatCode="\A\.\1&quot;.&quot;\6&quot;.&quot;#,#0#&quot;.&quot;"/>
    <numFmt numFmtId="169" formatCode="\A\.\1&quot;.&quot;\5&quot;.&quot;#,#0#&quot;.&quot;"/>
    <numFmt numFmtId="170" formatCode="\A\.\1&quot;.&quot;\2&quot;.&quot;#,#0#&quot;.&quot;"/>
    <numFmt numFmtId="171" formatCode="\A\.\1&quot;.&quot;\1&quot;.&quot;#,#0#&quot;.&quot;"/>
    <numFmt numFmtId="172" formatCode="\A\.\2&quot;.&quot;\7&quot;.&quot;#,#0#&quot;.&quot;"/>
    <numFmt numFmtId="173" formatCode="\A\.\2&quot;.&quot;\6&quot;.&quot;#,#0#&quot;.&quot;"/>
    <numFmt numFmtId="174" formatCode="\A\.\2&quot;.&quot;\3&quot;.&quot;#,#0#&quot;.&quot;"/>
    <numFmt numFmtId="175" formatCode="&quot;1.&quot;\5&quot;.&quot;\1&quot;.&quot;#,###&quot;.&quot;"/>
    <numFmt numFmtId="176" formatCode="\A\.\2&quot;.&quot;\2&quot;.&quot;#,#0#&quot;.&quot;"/>
    <numFmt numFmtId="177" formatCode="\A\.\2&quot;.&quot;\1&quot;.&quot;#,#0#&quot;.&quot;"/>
    <numFmt numFmtId="178" formatCode="\A\.\2&quot;.&quot;\4&quot;.&quot;#,#0#&quot;.&quot;"/>
    <numFmt numFmtId="179" formatCode="\A\.\2&quot;.&quot;\5&quot;.&quot;#,#0#&quot;.&quot;"/>
    <numFmt numFmtId="180" formatCode="#,##0.00\ &quot;kn&quot;"/>
    <numFmt numFmtId="181" formatCode="#,##0.00\ [$€-1]"/>
    <numFmt numFmtId="182" formatCode="&quot; &quot;* #,##0.00&quot; &quot;[$kn]&quot; &quot;;&quot;-&quot;* #,##0.00&quot; &quot;[$kn]&quot; &quot;;&quot; &quot;* &quot;-&quot;#&quot; &quot;[$kn]&quot; &quot;;&quot; &quot;@&quot; &quot;"/>
    <numFmt numFmtId="183" formatCode="\A\.\2&quot;.&quot;0&quot;.&quot;#,#0#&quot;.&quot;"/>
    <numFmt numFmtId="184" formatCode="* #,##0.00&quot;      &quot;;\-* #,##0.00&quot;      &quot;;* \-#&quot;      &quot;;@\ "/>
    <numFmt numFmtId="185" formatCode="_-* #,##0.00\ _k_n_-;\-* #,##0.00\ _k_n_-;_-* \-??\ _k_n_-;_-@_-"/>
    <numFmt numFmtId="186" formatCode="\A\.\1&quot;.&quot;\9&quot;.&quot;#,#0#&quot;.&quot;"/>
    <numFmt numFmtId="187" formatCode="&quot;A 2.&quot;0&quot;.&quot;"/>
    <numFmt numFmtId="188" formatCode="\A\.0&quot;.&quot;\1&quot;.&quot;#,#0#&quot;.&quot;"/>
    <numFmt numFmtId="189" formatCode="&quot;A 4.&quot;0&quot;.&quot;"/>
    <numFmt numFmtId="190" formatCode="&quot;B 2.&quot;0&quot;.&quot;"/>
    <numFmt numFmtId="191" formatCode="&quot;A 5.&quot;0&quot;.&quot;"/>
    <numFmt numFmtId="192" formatCode="&quot;A 8.&quot;0&quot;.&quot;"/>
    <numFmt numFmtId="193" formatCode="\A\.\1&quot;.&quot;\3&quot;.&quot;#,#0#&quot;.&quot;"/>
    <numFmt numFmtId="194" formatCode="\A\.\1&quot;.&quot;\4&quot;.&quot;#,#0#&quot;.&quot;"/>
    <numFmt numFmtId="195" formatCode="\A\.\1&quot;.&quot;\10&quot;.&quot;#,#0#&quot;.&quot;"/>
    <numFmt numFmtId="196" formatCode="\A\.\2&quot;.&quot;\8&quot;.&quot;#,#0#&quot;.&quot;"/>
    <numFmt numFmtId="197" formatCode="#,##0.00\ [$kn-41A]"/>
    <numFmt numFmtId="198" formatCode="0.000"/>
    <numFmt numFmtId="199" formatCode="_-* #,##0.00\ [$€-1]_-;\-* #,##0.00\ [$€-1]_-;_-* &quot;-&quot;??\ [$€-1]_-;_-@_-"/>
    <numFmt numFmtId="200" formatCode="#,##0\ _k_n"/>
    <numFmt numFmtId="201" formatCode="0.0"/>
    <numFmt numFmtId="202" formatCode="_-* #,##0.00\ [$€-41A]_-;\-* #,##0.00\ [$€-41A]_-;_-* &quot;-&quot;??\ [$€-41A]_-;_-@_-"/>
    <numFmt numFmtId="203" formatCode="#&quot;.&quot;"/>
    <numFmt numFmtId="204" formatCode="#,##0.00\ [$€-41A]"/>
    <numFmt numFmtId="205" formatCode="_-[$$-409]* #,##0.00_ ;_-[$$-409]* \-#,##0.00\ ;_-[$$-409]* &quot;-&quot;??_ ;_-@_ "/>
    <numFmt numFmtId="206" formatCode="#,##0.00\ &quot;kn/m²&quot;"/>
    <numFmt numFmtId="207" formatCode="&quot;€&quot;\ #,##0.00"/>
    <numFmt numFmtId="208" formatCode="_-&quot;€&quot;\ * #,##0.00_-;\-&quot;€&quot;\ * #,##0.00_-;_-&quot;€&quot;\ * &quot;-&quot;??_-;_-@_-"/>
    <numFmt numFmtId="209" formatCode="#,##0.0"/>
    <numFmt numFmtId="210" formatCode="_-* #,##0\ _k_n_-;\-* #,##0\ _k_n_-;_-* &quot;-&quot;??\ _k_n_-;_-@_-"/>
    <numFmt numFmtId="211" formatCode="#,##0.00;;;"/>
    <numFmt numFmtId="212" formatCode="\A\.\3&quot;.&quot;\1&quot;.&quot;#,#0#&quot;.&quot;"/>
    <numFmt numFmtId="213" formatCode="_-* #.##0.00\ _k_n_-;\-* #.##0.00\ _k_n_-;_-* &quot;-&quot;??\ _k_n_-;_-@_-"/>
    <numFmt numFmtId="214" formatCode="_-* #,##0.00\ [$kn-41A]_-;\-* #,##0.00\ [$kn-41A]_-;_-* &quot;-&quot;??\ [$kn-41A]_-;_-@_-"/>
    <numFmt numFmtId="215" formatCode="00000"/>
  </numFmts>
  <fonts count="230">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sz val="11"/>
      <name val="Calibri"/>
      <family val="2"/>
      <scheme val="minor"/>
    </font>
    <font>
      <b/>
      <sz val="11"/>
      <name val="Calibri"/>
      <family val="2"/>
      <scheme val="minor"/>
    </font>
    <font>
      <sz val="10"/>
      <name val="Arial CE"/>
      <charset val="238"/>
    </font>
    <font>
      <b/>
      <sz val="11"/>
      <name val="Calibri"/>
      <family val="2"/>
    </font>
    <font>
      <sz val="10"/>
      <name val="Arial"/>
      <family val="2"/>
    </font>
    <font>
      <sz val="10"/>
      <name val="Calibri"/>
      <family val="2"/>
      <scheme val="minor"/>
    </font>
    <font>
      <sz val="10"/>
      <name val="Calibri"/>
      <family val="2"/>
    </font>
    <font>
      <b/>
      <sz val="10"/>
      <name val="Calibri"/>
      <family val="2"/>
      <scheme val="minor"/>
    </font>
    <font>
      <sz val="11"/>
      <name val="Calibri"/>
      <family val="2"/>
    </font>
    <font>
      <sz val="10"/>
      <name val="Arial"/>
      <family val="2"/>
      <charset val="238"/>
    </font>
    <font>
      <sz val="10"/>
      <color rgb="FFFF0000"/>
      <name val="Calibri"/>
      <family val="2"/>
      <charset val="238"/>
      <scheme val="minor"/>
    </font>
    <font>
      <sz val="11"/>
      <name val="Calibri"/>
      <family val="2"/>
      <charset val="238"/>
      <scheme val="minor"/>
    </font>
    <font>
      <sz val="12"/>
      <name val="Calibri"/>
      <family val="2"/>
      <charset val="238"/>
      <scheme val="minor"/>
    </font>
    <font>
      <b/>
      <sz val="12"/>
      <name val="Calibri"/>
      <family val="2"/>
      <charset val="238"/>
      <scheme val="minor"/>
    </font>
    <font>
      <b/>
      <sz val="11"/>
      <name val="Calibri"/>
      <family val="2"/>
      <charset val="238"/>
      <scheme val="minor"/>
    </font>
    <font>
      <b/>
      <sz val="14"/>
      <name val="Calibri"/>
      <family val="2"/>
      <charset val="238"/>
      <scheme val="minor"/>
    </font>
    <font>
      <sz val="8"/>
      <name val="Calibri"/>
      <family val="2"/>
      <scheme val="minor"/>
    </font>
    <font>
      <i/>
      <sz val="10"/>
      <name val="Calibri"/>
      <family val="2"/>
    </font>
    <font>
      <sz val="11"/>
      <color rgb="FF000000"/>
      <name val="Aptos Narrow"/>
      <family val="2"/>
    </font>
    <font>
      <sz val="10"/>
      <color rgb="FF000000"/>
      <name val="Arial"/>
      <family val="2"/>
    </font>
    <font>
      <sz val="12"/>
      <color rgb="FF000000"/>
      <name val="CRO_Swiss_Light-Normal"/>
    </font>
    <font>
      <b/>
      <sz val="11"/>
      <color rgb="FFFF0000"/>
      <name val="Calibri"/>
      <family val="2"/>
    </font>
    <font>
      <b/>
      <sz val="11"/>
      <color rgb="FFFF0000"/>
      <name val="Calibri"/>
      <family val="2"/>
      <scheme val="minor"/>
    </font>
    <font>
      <sz val="11"/>
      <color rgb="FFFF0000"/>
      <name val="Calibri"/>
      <family val="2"/>
      <scheme val="minor"/>
    </font>
    <font>
      <sz val="11"/>
      <color rgb="FFFF0000"/>
      <name val="Calibri"/>
      <family val="2"/>
    </font>
    <font>
      <sz val="10"/>
      <color rgb="FFFF0000"/>
      <name val="Calibri"/>
      <family val="2"/>
      <scheme val="minor"/>
    </font>
    <font>
      <sz val="10"/>
      <color rgb="FFFF0000"/>
      <name val="Calibri"/>
      <family val="2"/>
    </font>
    <font>
      <b/>
      <sz val="10"/>
      <color rgb="FFFF0000"/>
      <name val="Calibri"/>
      <family val="2"/>
      <scheme val="minor"/>
    </font>
    <font>
      <b/>
      <sz val="10"/>
      <color rgb="FFFF0000"/>
      <name val="Calibri"/>
      <family val="2"/>
    </font>
    <font>
      <strike/>
      <sz val="11"/>
      <color rgb="FFFF0000"/>
      <name val="Calibri"/>
      <family val="2"/>
      <scheme val="minor"/>
    </font>
    <font>
      <strike/>
      <sz val="10"/>
      <color rgb="FFFF0000"/>
      <name val="Calibri"/>
      <family val="2"/>
      <scheme val="minor"/>
    </font>
    <font>
      <b/>
      <strike/>
      <sz val="10"/>
      <color rgb="FFFF0000"/>
      <name val="Calibri"/>
      <family val="2"/>
      <scheme val="minor"/>
    </font>
    <font>
      <sz val="9"/>
      <name val="Arial CE"/>
      <charset val="238"/>
    </font>
    <font>
      <sz val="8"/>
      <name val="Arial CE"/>
      <charset val="238"/>
    </font>
    <font>
      <i/>
      <sz val="10"/>
      <name val="Calibri"/>
      <family val="2"/>
      <scheme val="minor"/>
    </font>
    <font>
      <sz val="10"/>
      <name val="Calibri"/>
      <family val="2"/>
      <charset val="238"/>
      <scheme val="minor"/>
    </font>
    <font>
      <b/>
      <i/>
      <sz val="10"/>
      <name val="Calibri"/>
      <family val="2"/>
    </font>
    <font>
      <b/>
      <i/>
      <sz val="11"/>
      <name val="Calibri"/>
      <family val="2"/>
    </font>
    <font>
      <b/>
      <sz val="10"/>
      <name val="Calibri"/>
      <family val="2"/>
    </font>
    <font>
      <b/>
      <i/>
      <sz val="11"/>
      <name val="Calibri"/>
      <family val="2"/>
      <scheme val="minor"/>
    </font>
    <font>
      <sz val="10"/>
      <name val="Aptos Narrow"/>
      <family val="2"/>
    </font>
    <font>
      <b/>
      <sz val="12"/>
      <name val="Arial"/>
      <family val="2"/>
      <charset val="238"/>
    </font>
    <font>
      <b/>
      <sz val="10"/>
      <name val="Arial"/>
      <family val="2"/>
      <charset val="238"/>
    </font>
    <font>
      <strike/>
      <sz val="11"/>
      <name val="Calibri"/>
      <family val="2"/>
      <scheme val="minor"/>
    </font>
    <font>
      <vertAlign val="subscript"/>
      <sz val="10"/>
      <name val="Calibri"/>
      <family val="2"/>
    </font>
    <font>
      <b/>
      <vertAlign val="subscript"/>
      <sz val="12"/>
      <name val="Arial"/>
      <family val="2"/>
      <charset val="238"/>
    </font>
    <font>
      <b/>
      <vertAlign val="subscript"/>
      <sz val="10"/>
      <name val="Arial"/>
      <family val="2"/>
      <charset val="238"/>
    </font>
    <font>
      <sz val="10"/>
      <color theme="1"/>
      <name val="Calibri"/>
      <family val="2"/>
      <scheme val="minor"/>
    </font>
    <font>
      <b/>
      <strike/>
      <sz val="10"/>
      <color rgb="FFFF0000"/>
      <name val="Calibri"/>
      <family val="2"/>
      <charset val="238"/>
      <scheme val="minor"/>
    </font>
    <font>
      <b/>
      <sz val="10"/>
      <name val="Calibri"/>
      <family val="2"/>
      <charset val="238"/>
    </font>
    <font>
      <b/>
      <sz val="12"/>
      <name val="Calibri"/>
      <family val="2"/>
      <scheme val="minor"/>
    </font>
    <font>
      <sz val="12"/>
      <name val="Calibri"/>
      <family val="2"/>
      <scheme val="minor"/>
    </font>
    <font>
      <b/>
      <sz val="11"/>
      <color theme="1"/>
      <name val="Calibri"/>
      <family val="2"/>
      <scheme val="minor"/>
    </font>
    <font>
      <i/>
      <sz val="11"/>
      <color indexed="23"/>
      <name val="Calibri"/>
      <family val="2"/>
    </font>
    <font>
      <b/>
      <sz val="12"/>
      <name val="Calibri"/>
      <family val="2"/>
      <charset val="1"/>
    </font>
    <font>
      <sz val="12"/>
      <name val="Calibri"/>
      <family val="2"/>
      <charset val="238"/>
    </font>
    <font>
      <b/>
      <sz val="12"/>
      <name val="Calibri"/>
      <family val="2"/>
      <charset val="238"/>
    </font>
    <font>
      <b/>
      <sz val="12"/>
      <name val="Calibri"/>
      <family val="2"/>
    </font>
    <font>
      <sz val="11"/>
      <name val="Calibri"/>
      <family val="2"/>
      <charset val="238"/>
    </font>
    <font>
      <b/>
      <sz val="11"/>
      <name val="Calibri"/>
      <family val="2"/>
      <charset val="238"/>
    </font>
    <font>
      <i/>
      <sz val="11"/>
      <name val="Calibri"/>
      <family val="2"/>
      <charset val="238"/>
    </font>
    <font>
      <b/>
      <sz val="12"/>
      <color rgb="FFFF0000"/>
      <name val="Calibri"/>
      <family val="2"/>
      <scheme val="minor"/>
    </font>
    <font>
      <sz val="12"/>
      <color rgb="FFFF0000"/>
      <name val="Calibri"/>
      <family val="2"/>
      <scheme val="minor"/>
    </font>
    <font>
      <sz val="11"/>
      <color indexed="10"/>
      <name val="Calibri"/>
      <family val="2"/>
    </font>
    <font>
      <vertAlign val="superscript"/>
      <sz val="11"/>
      <name val="Calibri"/>
      <family val="2"/>
    </font>
    <font>
      <sz val="11"/>
      <name val="Century Gothic"/>
      <family val="2"/>
      <charset val="238"/>
    </font>
    <font>
      <sz val="11"/>
      <color rgb="FF7030A0"/>
      <name val="Calibri"/>
      <family val="2"/>
      <charset val="238"/>
      <scheme val="minor"/>
    </font>
    <font>
      <sz val="12"/>
      <color rgb="FF7030A0"/>
      <name val="Calibri"/>
      <family val="2"/>
      <charset val="238"/>
      <scheme val="minor"/>
    </font>
    <font>
      <u/>
      <sz val="12"/>
      <name val="Calibri"/>
      <family val="2"/>
      <charset val="238"/>
      <scheme val="minor"/>
    </font>
    <font>
      <strike/>
      <sz val="11"/>
      <color theme="1"/>
      <name val="Calibri"/>
      <family val="2"/>
      <charset val="238"/>
      <scheme val="minor"/>
    </font>
    <font>
      <b/>
      <sz val="10"/>
      <name val="Calibri"/>
      <family val="2"/>
      <charset val="238"/>
      <scheme val="minor"/>
    </font>
    <font>
      <sz val="9"/>
      <name val="Calibri"/>
      <family val="2"/>
      <charset val="238"/>
      <scheme val="minor"/>
    </font>
    <font>
      <sz val="9"/>
      <color rgb="FFFF0000"/>
      <name val="Calibri"/>
      <family val="2"/>
      <charset val="238"/>
      <scheme val="minor"/>
    </font>
    <font>
      <i/>
      <sz val="10"/>
      <name val="Calibri"/>
      <family val="2"/>
      <charset val="238"/>
    </font>
    <font>
      <sz val="9"/>
      <name val="Calibri"/>
      <family val="2"/>
      <scheme val="minor"/>
    </font>
    <font>
      <vertAlign val="superscript"/>
      <sz val="9"/>
      <name val="Calibri"/>
      <family val="2"/>
      <charset val="238"/>
      <scheme val="minor"/>
    </font>
    <font>
      <b/>
      <sz val="9"/>
      <name val="Calibri"/>
      <family val="2"/>
      <charset val="238"/>
      <scheme val="minor"/>
    </font>
    <font>
      <sz val="9"/>
      <name val="Calibri"/>
      <family val="2"/>
    </font>
    <font>
      <vertAlign val="superscript"/>
      <sz val="9"/>
      <name val="Calibri"/>
      <family val="2"/>
    </font>
    <font>
      <sz val="9"/>
      <color theme="1"/>
      <name val="Calibri"/>
      <family val="2"/>
      <charset val="238"/>
      <scheme val="minor"/>
    </font>
    <font>
      <i/>
      <sz val="9"/>
      <name val="Calibri"/>
      <family val="2"/>
      <charset val="238"/>
      <scheme val="minor"/>
    </font>
    <font>
      <b/>
      <i/>
      <sz val="9"/>
      <name val="Calibri"/>
      <family val="2"/>
      <charset val="238"/>
      <scheme val="minor"/>
    </font>
    <font>
      <strike/>
      <sz val="10"/>
      <name val="Calibri"/>
      <family val="2"/>
      <scheme val="minor"/>
    </font>
    <font>
      <b/>
      <strike/>
      <sz val="10"/>
      <name val="Calibri"/>
      <family val="2"/>
      <scheme val="minor"/>
    </font>
    <font>
      <sz val="9"/>
      <color rgb="FF00B050"/>
      <name val="Calibri"/>
      <family val="2"/>
      <scheme val="minor"/>
    </font>
    <font>
      <sz val="9"/>
      <color rgb="FF00B050"/>
      <name val="Calibri"/>
      <family val="2"/>
      <charset val="238"/>
      <scheme val="minor"/>
    </font>
    <font>
      <sz val="11"/>
      <color rgb="FF00B050"/>
      <name val="Calibri"/>
      <family val="2"/>
      <scheme val="minor"/>
    </font>
    <font>
      <sz val="11.5"/>
      <name val="Calibri"/>
      <family val="2"/>
    </font>
    <font>
      <sz val="10"/>
      <color rgb="FF00B050"/>
      <name val="Calibri"/>
      <family val="2"/>
      <charset val="238"/>
      <scheme val="minor"/>
    </font>
    <font>
      <b/>
      <sz val="11"/>
      <color rgb="FF00B050"/>
      <name val="Calibri"/>
      <family val="2"/>
      <scheme val="minor"/>
    </font>
    <font>
      <sz val="11"/>
      <color rgb="FF3FAF46"/>
      <name val="Calibri"/>
      <family val="2"/>
      <charset val="1"/>
    </font>
    <font>
      <vertAlign val="superscript"/>
      <sz val="10"/>
      <name val="Calibri"/>
      <family val="2"/>
      <charset val="238"/>
      <scheme val="minor"/>
    </font>
    <font>
      <sz val="11"/>
      <color theme="1"/>
      <name val="Calibri"/>
      <family val="2"/>
      <scheme val="minor"/>
    </font>
    <font>
      <b/>
      <sz val="11"/>
      <name val="Arial"/>
      <family val="2"/>
    </font>
    <font>
      <sz val="8"/>
      <color theme="1"/>
      <name val="Calibri"/>
      <family val="2"/>
      <scheme val="minor"/>
    </font>
    <font>
      <sz val="11"/>
      <name val="Arial"/>
      <family val="2"/>
      <charset val="238"/>
    </font>
    <font>
      <b/>
      <sz val="8"/>
      <name val="Calibri"/>
      <family val="2"/>
      <charset val="238"/>
      <scheme val="minor"/>
    </font>
    <font>
      <b/>
      <sz val="8"/>
      <color theme="1"/>
      <name val="Calibri"/>
      <family val="2"/>
      <charset val="238"/>
      <scheme val="minor"/>
    </font>
    <font>
      <sz val="8"/>
      <name val="Calibri"/>
      <family val="2"/>
      <charset val="238"/>
      <scheme val="minor"/>
    </font>
    <font>
      <sz val="8"/>
      <color theme="1"/>
      <name val="Calibri"/>
      <family val="2"/>
      <charset val="238"/>
      <scheme val="minor"/>
    </font>
    <font>
      <sz val="8"/>
      <name val="Calibri"/>
      <family val="2"/>
    </font>
    <font>
      <sz val="8"/>
      <name val="Calibri"/>
      <family val="2"/>
      <charset val="238"/>
    </font>
    <font>
      <sz val="12"/>
      <name val="Arial CE"/>
      <charset val="238"/>
    </font>
    <font>
      <sz val="8"/>
      <name val="Arial"/>
      <family val="2"/>
      <charset val="238"/>
    </font>
    <font>
      <sz val="8"/>
      <name val="Arial"/>
      <family val="2"/>
    </font>
    <font>
      <b/>
      <sz val="9"/>
      <name val="Calibri"/>
      <family val="2"/>
      <scheme val="minor"/>
    </font>
    <font>
      <sz val="8"/>
      <name val="Cambria"/>
      <family val="1"/>
    </font>
    <font>
      <sz val="11"/>
      <color indexed="8"/>
      <name val="Calibri"/>
      <family val="2"/>
    </font>
    <font>
      <sz val="8"/>
      <color indexed="8"/>
      <name val="Calibri"/>
      <family val="2"/>
    </font>
    <font>
      <sz val="10"/>
      <color indexed="8"/>
      <name val="Arial"/>
      <family val="2"/>
      <charset val="238"/>
    </font>
    <font>
      <sz val="9"/>
      <color indexed="8"/>
      <name val="Calibri"/>
      <family val="2"/>
      <charset val="238"/>
      <scheme val="minor"/>
    </font>
    <font>
      <b/>
      <sz val="8"/>
      <color indexed="8"/>
      <name val="Calibri"/>
      <family val="2"/>
      <scheme val="minor"/>
    </font>
    <font>
      <sz val="8"/>
      <color indexed="8"/>
      <name val="Calibri"/>
      <family val="2"/>
      <scheme val="minor"/>
    </font>
    <font>
      <vertAlign val="superscript"/>
      <sz val="9"/>
      <name val="Arial"/>
      <family val="2"/>
      <charset val="238"/>
    </font>
    <font>
      <b/>
      <sz val="8"/>
      <color theme="1"/>
      <name val="Calibri"/>
      <family val="2"/>
      <scheme val="minor"/>
    </font>
    <font>
      <b/>
      <sz val="10"/>
      <name val="Arial"/>
      <family val="2"/>
    </font>
    <font>
      <vertAlign val="superscript"/>
      <sz val="10"/>
      <name val="Arial"/>
      <family val="2"/>
    </font>
    <font>
      <i/>
      <sz val="10"/>
      <name val="Arial"/>
      <family val="2"/>
    </font>
    <font>
      <sz val="10"/>
      <color theme="1"/>
      <name val="Arial"/>
      <family val="2"/>
      <charset val="238"/>
    </font>
    <font>
      <u/>
      <sz val="10"/>
      <name val="Arial"/>
      <family val="2"/>
    </font>
    <font>
      <b/>
      <sz val="9"/>
      <name val="Arial"/>
      <family val="2"/>
    </font>
    <font>
      <sz val="9"/>
      <name val="Arial"/>
      <family val="2"/>
      <charset val="238"/>
    </font>
    <font>
      <b/>
      <sz val="12"/>
      <name val="Arial"/>
      <family val="2"/>
    </font>
    <font>
      <sz val="12"/>
      <name val="Arial"/>
      <family val="2"/>
    </font>
    <font>
      <b/>
      <i/>
      <sz val="12"/>
      <name val="Arial"/>
      <family val="2"/>
      <charset val="238"/>
    </font>
    <font>
      <b/>
      <sz val="10"/>
      <color indexed="8"/>
      <name val="Calibri"/>
      <family val="2"/>
      <charset val="238"/>
      <scheme val="minor"/>
    </font>
    <font>
      <sz val="10"/>
      <color indexed="8"/>
      <name val="Calibri"/>
      <family val="2"/>
      <charset val="238"/>
      <scheme val="minor"/>
    </font>
    <font>
      <b/>
      <sz val="11"/>
      <name val="Arial Black"/>
      <family val="2"/>
    </font>
    <font>
      <sz val="11"/>
      <name val="Arial"/>
      <family val="2"/>
    </font>
    <font>
      <sz val="11"/>
      <color rgb="FF00B050"/>
      <name val="Arial"/>
      <family val="2"/>
      <charset val="238"/>
    </font>
    <font>
      <sz val="11"/>
      <color indexed="8"/>
      <name val="Arial"/>
      <family val="2"/>
      <charset val="238"/>
    </font>
    <font>
      <b/>
      <sz val="11"/>
      <name val="Arial"/>
      <family val="2"/>
      <charset val="238"/>
    </font>
    <font>
      <b/>
      <sz val="11"/>
      <color indexed="8"/>
      <name val="Arial"/>
      <family val="2"/>
      <charset val="238"/>
    </font>
    <font>
      <b/>
      <sz val="18"/>
      <color indexed="10"/>
      <name val="Arial CE"/>
      <charset val="238"/>
    </font>
    <font>
      <b/>
      <sz val="18"/>
      <name val="Arial CE"/>
      <charset val="238"/>
    </font>
    <font>
      <sz val="10"/>
      <name val="Arial CE"/>
      <family val="2"/>
      <charset val="238"/>
    </font>
    <font>
      <sz val="10"/>
      <color indexed="9"/>
      <name val="Arial CE"/>
      <family val="2"/>
      <charset val="238"/>
    </font>
    <font>
      <b/>
      <sz val="10"/>
      <name val="Arial CE"/>
      <charset val="238"/>
    </font>
    <font>
      <sz val="8"/>
      <name val="Arial CE"/>
      <family val="2"/>
      <charset val="238"/>
    </font>
    <font>
      <b/>
      <sz val="12"/>
      <name val="Arial CE"/>
      <charset val="238"/>
    </font>
    <font>
      <b/>
      <sz val="5"/>
      <name val="Arial CE"/>
      <charset val="238"/>
    </font>
    <font>
      <b/>
      <sz val="14"/>
      <name val="Arial CE"/>
      <charset val="238"/>
    </font>
    <font>
      <sz val="5"/>
      <name val="Arial CE"/>
      <family val="2"/>
      <charset val="238"/>
    </font>
    <font>
      <sz val="5"/>
      <color indexed="9"/>
      <name val="Arial CE"/>
      <family val="2"/>
      <charset val="238"/>
    </font>
    <font>
      <sz val="9"/>
      <name val="Arial CE"/>
      <family val="2"/>
      <charset val="238"/>
    </font>
    <font>
      <sz val="9"/>
      <color indexed="9"/>
      <name val="Arial CE"/>
      <family val="2"/>
      <charset val="238"/>
    </font>
    <font>
      <b/>
      <sz val="9"/>
      <name val="Arial CE"/>
      <charset val="238"/>
    </font>
    <font>
      <sz val="9"/>
      <name val="Arial"/>
      <family val="2"/>
    </font>
    <font>
      <i/>
      <sz val="9"/>
      <name val="Arial"/>
      <family val="2"/>
      <charset val="238"/>
    </font>
    <font>
      <b/>
      <sz val="9"/>
      <name val="Arial CE"/>
      <family val="2"/>
      <charset val="238"/>
    </font>
    <font>
      <sz val="8.6"/>
      <color indexed="8"/>
      <name val="Arial"/>
      <family val="2"/>
      <charset val="238"/>
    </font>
    <font>
      <sz val="8.6"/>
      <name val="Arial"/>
      <family val="2"/>
      <charset val="238"/>
    </font>
    <font>
      <b/>
      <sz val="8.6"/>
      <name val="Arial"/>
      <family val="2"/>
      <charset val="238"/>
    </font>
    <font>
      <sz val="8.6"/>
      <color indexed="10"/>
      <name val="Arial"/>
      <family val="2"/>
      <charset val="238"/>
    </font>
    <font>
      <b/>
      <sz val="8.5"/>
      <name val="Arial"/>
      <family val="2"/>
      <charset val="238"/>
    </font>
    <font>
      <b/>
      <sz val="8.5"/>
      <color indexed="8"/>
      <name val="Arial"/>
      <family val="2"/>
      <charset val="238"/>
    </font>
    <font>
      <sz val="10"/>
      <name val="Tahoma"/>
      <family val="2"/>
    </font>
    <font>
      <b/>
      <sz val="10"/>
      <name val="Tahoma"/>
      <family val="2"/>
    </font>
    <font>
      <sz val="8.5"/>
      <color theme="1"/>
      <name val="Arial"/>
      <family val="2"/>
      <charset val="238"/>
    </font>
    <font>
      <b/>
      <sz val="12"/>
      <name val="Tahoma"/>
      <family val="2"/>
    </font>
    <font>
      <b/>
      <u/>
      <sz val="12"/>
      <name val="Tahoma"/>
      <family val="2"/>
    </font>
    <font>
      <b/>
      <i/>
      <u/>
      <sz val="12"/>
      <color indexed="10"/>
      <name val="Tahoma"/>
      <family val="2"/>
    </font>
    <font>
      <i/>
      <u/>
      <sz val="12"/>
      <color indexed="10"/>
      <name val="Tahoma"/>
      <family val="2"/>
    </font>
    <font>
      <sz val="8.6"/>
      <color theme="1"/>
      <name val="Arial"/>
      <family val="2"/>
      <charset val="238"/>
    </font>
    <font>
      <b/>
      <sz val="10"/>
      <color theme="0"/>
      <name val="Arial"/>
      <family val="2"/>
      <charset val="238"/>
    </font>
    <font>
      <sz val="10"/>
      <color indexed="8"/>
      <name val="Arial"/>
      <family val="2"/>
    </font>
    <font>
      <sz val="10"/>
      <color indexed="8"/>
      <name val="Calibri"/>
      <family val="2"/>
    </font>
    <font>
      <b/>
      <sz val="8.6"/>
      <color theme="0"/>
      <name val="Arial"/>
      <family val="2"/>
      <charset val="238"/>
    </font>
    <font>
      <sz val="12"/>
      <color indexed="23"/>
      <name val="Arial"/>
      <family val="2"/>
      <charset val="238"/>
    </font>
    <font>
      <b/>
      <i/>
      <u/>
      <sz val="12"/>
      <color indexed="10"/>
      <name val="Arial"/>
      <family val="2"/>
      <charset val="238"/>
    </font>
    <font>
      <b/>
      <sz val="12"/>
      <color indexed="8"/>
      <name val="Arial"/>
      <family val="2"/>
      <charset val="238"/>
    </font>
    <font>
      <sz val="12"/>
      <name val="Tahoma"/>
      <family val="2"/>
    </font>
    <font>
      <sz val="8"/>
      <color indexed="8"/>
      <name val="Arial"/>
      <family val="2"/>
      <charset val="238"/>
    </font>
    <font>
      <sz val="6.5"/>
      <color indexed="8"/>
      <name val="Arial"/>
      <family val="2"/>
      <charset val="238"/>
    </font>
    <font>
      <b/>
      <sz val="8.6"/>
      <color indexed="8"/>
      <name val="Arial"/>
      <family val="2"/>
      <charset val="238"/>
    </font>
    <font>
      <b/>
      <sz val="8.5"/>
      <name val="Arial"/>
      <family val="2"/>
    </font>
    <font>
      <sz val="8.5"/>
      <name val="Arial"/>
      <family val="2"/>
    </font>
    <font>
      <b/>
      <i/>
      <sz val="8.5"/>
      <name val="Arial"/>
      <family val="2"/>
    </font>
    <font>
      <sz val="8.5"/>
      <name val="Arial"/>
      <family val="2"/>
      <charset val="238"/>
    </font>
    <font>
      <sz val="8.5"/>
      <color indexed="8"/>
      <name val="Arial"/>
      <family val="2"/>
      <charset val="238"/>
    </font>
    <font>
      <i/>
      <sz val="8.5"/>
      <name val="Arial"/>
      <family val="2"/>
      <charset val="238"/>
    </font>
    <font>
      <b/>
      <sz val="8"/>
      <name val="Arial"/>
      <family val="2"/>
      <charset val="238"/>
    </font>
    <font>
      <b/>
      <sz val="12"/>
      <color indexed="8"/>
      <name val="Arial"/>
      <family val="2"/>
    </font>
    <font>
      <sz val="8"/>
      <color indexed="8"/>
      <name val="Arial"/>
      <family val="2"/>
    </font>
    <font>
      <b/>
      <sz val="10"/>
      <color indexed="8"/>
      <name val="Arial"/>
      <family val="2"/>
    </font>
    <font>
      <b/>
      <sz val="8.5"/>
      <name val="Arial "/>
      <charset val="238"/>
    </font>
    <font>
      <sz val="8.5"/>
      <name val="Arial "/>
      <charset val="238"/>
    </font>
    <font>
      <b/>
      <i/>
      <sz val="8.5"/>
      <name val="Arial "/>
      <charset val="238"/>
    </font>
    <font>
      <i/>
      <sz val="8.6"/>
      <color indexed="8"/>
      <name val="Arial"/>
      <family val="2"/>
      <charset val="238"/>
    </font>
    <font>
      <sz val="10"/>
      <name val="Calibri"/>
      <family val="2"/>
      <charset val="238"/>
    </font>
    <font>
      <sz val="10"/>
      <name val="Tahoma"/>
      <family val="2"/>
      <charset val="238"/>
    </font>
    <font>
      <i/>
      <sz val="8.6"/>
      <name val="Arial"/>
      <family val="2"/>
      <charset val="238"/>
    </font>
    <font>
      <sz val="9"/>
      <name val="Arial Narrow"/>
      <family val="2"/>
      <charset val="238"/>
    </font>
    <font>
      <b/>
      <sz val="10"/>
      <color indexed="8"/>
      <name val="Arial"/>
      <family val="2"/>
      <charset val="238"/>
    </font>
    <font>
      <strike/>
      <sz val="8.6"/>
      <color indexed="8"/>
      <name val="Arial"/>
      <family val="2"/>
      <charset val="238"/>
    </font>
    <font>
      <sz val="10"/>
      <name val="Arial Narrow"/>
      <family val="2"/>
      <charset val="238"/>
    </font>
    <font>
      <sz val="8.6"/>
      <color indexed="8"/>
      <name val="Arial"/>
      <family val="2"/>
    </font>
    <font>
      <b/>
      <sz val="8.6"/>
      <color indexed="8"/>
      <name val="Arial"/>
      <family val="2"/>
    </font>
    <font>
      <b/>
      <sz val="10"/>
      <name val="Tahoma"/>
      <family val="2"/>
      <charset val="238"/>
    </font>
    <font>
      <b/>
      <sz val="12"/>
      <name val="Tahoma"/>
      <family val="2"/>
      <charset val="238"/>
    </font>
    <font>
      <b/>
      <u/>
      <sz val="12"/>
      <name val="Tahoma"/>
      <family val="2"/>
      <charset val="238"/>
    </font>
    <font>
      <b/>
      <i/>
      <u/>
      <sz val="12"/>
      <name val="Tahoma"/>
      <family val="2"/>
      <charset val="238"/>
    </font>
    <font>
      <i/>
      <u/>
      <sz val="12"/>
      <name val="Tahoma"/>
      <family val="2"/>
      <charset val="238"/>
    </font>
    <font>
      <b/>
      <u/>
      <sz val="8.5"/>
      <name val="Arial"/>
      <family val="2"/>
      <charset val="238"/>
    </font>
    <font>
      <sz val="12"/>
      <name val="Tahoma"/>
      <family val="2"/>
      <charset val="238"/>
    </font>
    <font>
      <b/>
      <sz val="14"/>
      <name val="Calibri"/>
      <family val="2"/>
      <scheme val="minor"/>
    </font>
    <font>
      <i/>
      <sz val="11"/>
      <name val="Calibri"/>
      <family val="2"/>
      <scheme val="minor"/>
    </font>
    <font>
      <i/>
      <sz val="9"/>
      <name val="Calibri"/>
      <family val="2"/>
    </font>
    <font>
      <b/>
      <sz val="9"/>
      <name val="Calibri"/>
      <family val="2"/>
    </font>
    <font>
      <sz val="10"/>
      <name val="Mangal"/>
      <family val="2"/>
      <charset val="238"/>
    </font>
    <font>
      <vertAlign val="superscript"/>
      <sz val="10"/>
      <name val="Calibri"/>
      <family val="2"/>
    </font>
    <font>
      <sz val="10"/>
      <name val="Century Gothic"/>
      <family val="2"/>
      <charset val="238"/>
    </font>
    <font>
      <i/>
      <sz val="10"/>
      <name val="Arial"/>
      <family val="2"/>
      <charset val="238"/>
    </font>
    <font>
      <i/>
      <vertAlign val="superscript"/>
      <sz val="10"/>
      <name val="Arial"/>
      <family val="2"/>
    </font>
    <font>
      <strike/>
      <sz val="10"/>
      <name val="Arial"/>
      <family val="2"/>
      <charset val="238"/>
    </font>
    <font>
      <b/>
      <strike/>
      <sz val="10"/>
      <name val="Arial"/>
      <family val="2"/>
      <charset val="238"/>
    </font>
  </fonts>
  <fills count="21">
    <fill>
      <patternFill patternType="none"/>
    </fill>
    <fill>
      <patternFill patternType="gray125"/>
    </fill>
    <fill>
      <patternFill patternType="solid">
        <fgColor rgb="FFFFC000"/>
        <bgColor indexed="64"/>
      </patternFill>
    </fill>
    <fill>
      <patternFill patternType="solid">
        <fgColor indexed="26"/>
        <bgColor indexed="64"/>
      </patternFill>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theme="5" tint="0.79998168889431442"/>
        <bgColor indexed="64"/>
      </patternFill>
    </fill>
    <fill>
      <patternFill patternType="solid">
        <fgColor indexed="22"/>
        <bgColor indexed="31"/>
      </patternFill>
    </fill>
    <fill>
      <patternFill patternType="solid">
        <fgColor theme="0" tint="-0.249977111117893"/>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2" tint="-9.9978637043366805E-2"/>
        <bgColor indexed="41"/>
      </patternFill>
    </fill>
    <fill>
      <patternFill patternType="solid">
        <fgColor theme="2"/>
        <bgColor indexed="64"/>
      </patternFill>
    </fill>
    <fill>
      <patternFill patternType="solid">
        <fgColor rgb="FFFFFFFF"/>
        <bgColor rgb="FFF2F2F2"/>
      </patternFill>
    </fill>
    <fill>
      <patternFill patternType="solid">
        <fgColor theme="4" tint="0.79998168889431442"/>
        <bgColor indexed="64"/>
      </patternFill>
    </fill>
    <fill>
      <patternFill patternType="solid">
        <fgColor indexed="44"/>
        <bgColor indexed="64"/>
      </patternFill>
    </fill>
    <fill>
      <patternFill patternType="solid">
        <fgColor indexed="9"/>
        <bgColor indexed="64"/>
      </patternFill>
    </fill>
  </fills>
  <borders count="47">
    <border>
      <left/>
      <right/>
      <top/>
      <bottom/>
      <diagonal/>
    </border>
    <border>
      <left style="hair">
        <color auto="1"/>
      </left>
      <right style="hair">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double">
        <color indexed="64"/>
      </bottom>
      <diagonal/>
    </border>
    <border>
      <left style="medium">
        <color rgb="FFCDCDCD"/>
      </left>
      <right style="medium">
        <color rgb="FFCDCDCD"/>
      </right>
      <top style="medium">
        <color rgb="FFCDCDCD"/>
      </top>
      <bottom style="medium">
        <color rgb="FFCDCDCD"/>
      </bottom>
      <diagonal/>
    </border>
    <border>
      <left/>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top/>
      <bottom style="hair">
        <color indexed="64"/>
      </bottom>
      <diagonal/>
    </border>
    <border>
      <left/>
      <right style="medium">
        <color indexed="64"/>
      </right>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dotted">
        <color indexed="64"/>
      </bottom>
      <diagonal/>
    </border>
    <border>
      <left/>
      <right/>
      <top style="dotted">
        <color indexed="64"/>
      </top>
      <bottom/>
      <diagonal/>
    </border>
    <border>
      <left style="double">
        <color indexed="64"/>
      </left>
      <right style="double">
        <color indexed="64"/>
      </right>
      <top style="double">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29">
    <xf numFmtId="0" fontId="0" fillId="0" borderId="0"/>
    <xf numFmtId="0" fontId="12" fillId="0" borderId="0"/>
    <xf numFmtId="0" fontId="16" fillId="0" borderId="0"/>
    <xf numFmtId="0" fontId="18" fillId="0" borderId="0"/>
    <xf numFmtId="0" fontId="16"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9" fillId="0" borderId="0"/>
    <xf numFmtId="0" fontId="8" fillId="0" borderId="0"/>
    <xf numFmtId="0" fontId="32" fillId="0" borderId="0"/>
    <xf numFmtId="182" fontId="32" fillId="0" borderId="0" applyFont="0" applyFill="0" applyBorder="0" applyAlignment="0" applyProtection="0"/>
    <xf numFmtId="182" fontId="32" fillId="0" borderId="0" applyFont="0" applyFill="0" applyBorder="0" applyAlignment="0" applyProtection="0"/>
    <xf numFmtId="0" fontId="33" fillId="0" borderId="0" applyNumberFormat="0" applyBorder="0" applyProtection="0"/>
    <xf numFmtId="0" fontId="33" fillId="0" borderId="0" applyNumberFormat="0" applyBorder="0" applyProtection="0"/>
    <xf numFmtId="0" fontId="34" fillId="0" borderId="0" applyNumberFormat="0" applyBorder="0" applyProtection="0"/>
    <xf numFmtId="0" fontId="46" fillId="0" borderId="0"/>
    <xf numFmtId="0" fontId="7" fillId="0" borderId="0"/>
    <xf numFmtId="0" fontId="47" fillId="0" borderId="0"/>
    <xf numFmtId="43" fontId="16"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8" fillId="0" borderId="0"/>
    <xf numFmtId="0" fontId="67" fillId="0" borderId="0" applyNumberFormat="0" applyFill="0" applyBorder="0" applyAlignment="0" applyProtection="0"/>
    <xf numFmtId="0" fontId="23" fillId="0" borderId="0"/>
    <xf numFmtId="184" fontId="18" fillId="0" borderId="0" applyFill="0" applyBorder="0" applyAlignment="0" applyProtection="0"/>
    <xf numFmtId="185" fontId="23" fillId="0" borderId="0" applyFill="0" applyBorder="0" applyAlignment="0" applyProtection="0"/>
    <xf numFmtId="0" fontId="6" fillId="0" borderId="0"/>
    <xf numFmtId="0" fontId="16" fillId="0" borderId="0">
      <alignment vertical="center"/>
    </xf>
    <xf numFmtId="0" fontId="5" fillId="0" borderId="0"/>
    <xf numFmtId="0" fontId="109" fillId="0" borderId="0"/>
    <xf numFmtId="0" fontId="109" fillId="0" borderId="0"/>
    <xf numFmtId="0" fontId="16" fillId="0" borderId="0">
      <alignment vertical="center"/>
    </xf>
    <xf numFmtId="164" fontId="5" fillId="0" borderId="0" applyFont="0" applyFill="0" applyBorder="0" applyAlignment="0" applyProtection="0"/>
    <xf numFmtId="0" fontId="16" fillId="0" borderId="0">
      <alignment vertical="center"/>
    </xf>
    <xf numFmtId="0" fontId="16" fillId="0" borderId="0">
      <alignment vertical="center"/>
    </xf>
    <xf numFmtId="0" fontId="116" fillId="0" borderId="0">
      <alignment vertical="center"/>
    </xf>
    <xf numFmtId="0" fontId="16" fillId="0" borderId="0">
      <alignment vertical="center"/>
    </xf>
    <xf numFmtId="0" fontId="23"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21" fillId="0" borderId="0">
      <alignment vertical="center"/>
    </xf>
    <xf numFmtId="0" fontId="16" fillId="0" borderId="0">
      <alignment vertical="center"/>
    </xf>
    <xf numFmtId="0" fontId="93" fillId="0" borderId="0">
      <alignment horizontal="justify" vertical="top" wrapText="1"/>
    </xf>
    <xf numFmtId="4" fontId="93" fillId="0" borderId="0">
      <alignment horizontal="right"/>
    </xf>
    <xf numFmtId="4" fontId="93" fillId="0" borderId="0">
      <alignment horizontal="right"/>
      <protection locked="0"/>
    </xf>
    <xf numFmtId="0" fontId="93" fillId="0" borderId="0">
      <alignment horizontal="right"/>
    </xf>
    <xf numFmtId="203" fontId="93" fillId="0" borderId="0">
      <alignment horizontal="left" vertical="top"/>
    </xf>
    <xf numFmtId="165" fontId="23" fillId="0" borderId="0" applyFont="0" applyFill="0" applyBorder="0" applyAlignment="0" applyProtection="0"/>
    <xf numFmtId="165" fontId="5" fillId="0" borderId="0" applyFont="0" applyFill="0" applyBorder="0" applyAlignment="0" applyProtection="0"/>
    <xf numFmtId="0" fontId="23" fillId="0" borderId="0"/>
    <xf numFmtId="0" fontId="106" fillId="0" borderId="0"/>
    <xf numFmtId="0" fontId="23" fillId="0" borderId="0"/>
    <xf numFmtId="0" fontId="23" fillId="0" borderId="0"/>
    <xf numFmtId="0" fontId="132" fillId="0" borderId="0"/>
    <xf numFmtId="0" fontId="23" fillId="0" borderId="0"/>
    <xf numFmtId="0" fontId="23" fillId="0" borderId="0"/>
    <xf numFmtId="0" fontId="23" fillId="0" borderId="0"/>
    <xf numFmtId="0" fontId="172" fillId="0" borderId="0">
      <alignment vertical="top" wrapText="1"/>
    </xf>
    <xf numFmtId="0" fontId="5" fillId="0" borderId="0"/>
    <xf numFmtId="0" fontId="23" fillId="0" borderId="0"/>
    <xf numFmtId="0" fontId="18" fillId="0" borderId="0" applyFont="0" applyFill="0" applyBorder="0" applyAlignment="0" applyProtection="0"/>
    <xf numFmtId="0" fontId="172" fillId="0" borderId="0">
      <alignment vertical="top" wrapText="1"/>
    </xf>
    <xf numFmtId="0" fontId="5" fillId="0" borderId="0"/>
    <xf numFmtId="165" fontId="23" fillId="0" borderId="0" applyFont="0" applyFill="0" applyBorder="0" applyAlignment="0" applyProtection="0"/>
    <xf numFmtId="0" fontId="23" fillId="0" borderId="0"/>
    <xf numFmtId="165" fontId="23" fillId="0" borderId="0" applyFont="0" applyFill="0" applyBorder="0" applyAlignment="0" applyProtection="0"/>
    <xf numFmtId="0" fontId="23" fillId="0" borderId="0"/>
    <xf numFmtId="43" fontId="18" fillId="0" borderId="0" applyFont="0" applyFill="0" applyBorder="0" applyAlignment="0" applyProtection="0"/>
    <xf numFmtId="0" fontId="5" fillId="0" borderId="0"/>
    <xf numFmtId="0" fontId="5" fillId="0" borderId="0"/>
    <xf numFmtId="0" fontId="23" fillId="0" borderId="0"/>
    <xf numFmtId="0" fontId="172" fillId="0" borderId="0">
      <alignment vertical="top" wrapText="1"/>
    </xf>
    <xf numFmtId="0" fontId="18" fillId="0" borderId="0"/>
    <xf numFmtId="0" fontId="172" fillId="0" borderId="0">
      <alignment vertical="top" wrapText="1"/>
    </xf>
    <xf numFmtId="0" fontId="172" fillId="0" borderId="0">
      <alignment vertical="top" wrapText="1"/>
    </xf>
    <xf numFmtId="0" fontId="172" fillId="0" borderId="0">
      <alignment vertical="top" wrapText="1"/>
    </xf>
    <xf numFmtId="0" fontId="172" fillId="0" borderId="0">
      <alignment vertical="top" wrapText="1"/>
    </xf>
    <xf numFmtId="0" fontId="23" fillId="0" borderId="0"/>
    <xf numFmtId="0" fontId="172" fillId="0" borderId="0">
      <alignment vertical="top" wrapText="1"/>
    </xf>
    <xf numFmtId="0" fontId="172" fillId="0" borderId="0">
      <alignment vertical="top" wrapText="1"/>
    </xf>
    <xf numFmtId="0" fontId="172" fillId="0" borderId="0">
      <alignment vertical="top" wrapText="1"/>
    </xf>
    <xf numFmtId="0" fontId="23" fillId="0" borderId="0"/>
    <xf numFmtId="0" fontId="172" fillId="0" borderId="0">
      <alignment vertical="top" wrapText="1"/>
    </xf>
    <xf numFmtId="0" fontId="172" fillId="0" borderId="0">
      <alignment vertical="top" wrapText="1"/>
    </xf>
    <xf numFmtId="0" fontId="172" fillId="0" borderId="0">
      <alignment vertical="top" wrapText="1"/>
    </xf>
    <xf numFmtId="0" fontId="172" fillId="0" borderId="0">
      <alignment vertical="top" wrapText="1"/>
    </xf>
    <xf numFmtId="0" fontId="5" fillId="0" borderId="0"/>
    <xf numFmtId="0" fontId="23" fillId="0" borderId="0"/>
    <xf numFmtId="0" fontId="172" fillId="0" borderId="0">
      <alignment vertical="top" wrapText="1"/>
    </xf>
    <xf numFmtId="0" fontId="172" fillId="0" borderId="0">
      <alignment vertical="top" wrapText="1"/>
    </xf>
    <xf numFmtId="0" fontId="23" fillId="0" borderId="0"/>
    <xf numFmtId="0" fontId="4" fillId="0" borderId="0"/>
    <xf numFmtId="49" fontId="85" fillId="0" borderId="0">
      <alignment horizontal="justify" vertical="center" wrapText="1"/>
      <protection locked="0"/>
    </xf>
    <xf numFmtId="0" fontId="49" fillId="0" borderId="0">
      <alignment horizontal="justify" vertical="top"/>
    </xf>
    <xf numFmtId="213" fontId="23" fillId="0" borderId="0" applyFont="0" applyFill="0" applyBorder="0" applyAlignment="0" applyProtection="0"/>
    <xf numFmtId="9" fontId="23" fillId="0" borderId="0" applyFont="0" applyFill="0" applyBorder="0" applyAlignment="0" applyProtection="0"/>
    <xf numFmtId="0" fontId="23" fillId="0" borderId="0"/>
    <xf numFmtId="185" fontId="223" fillId="0" borderId="0" applyFill="0" applyBorder="0" applyAlignment="0" applyProtection="0"/>
    <xf numFmtId="0" fontId="106" fillId="0" borderId="0"/>
    <xf numFmtId="0" fontId="3" fillId="0" borderId="0"/>
    <xf numFmtId="0" fontId="109" fillId="0" borderId="0"/>
    <xf numFmtId="0" fontId="2" fillId="0" borderId="0"/>
    <xf numFmtId="0" fontId="1" fillId="0" borderId="0"/>
  </cellStyleXfs>
  <cellXfs count="1756">
    <xf numFmtId="0" fontId="0" fillId="0" borderId="0" xfId="0"/>
    <xf numFmtId="0" fontId="26" fillId="0" borderId="0" xfId="20" applyFont="1"/>
    <xf numFmtId="0" fontId="25" fillId="0" borderId="0" xfId="20" applyFont="1"/>
    <xf numFmtId="0" fontId="27" fillId="0" borderId="0" xfId="20" applyFont="1"/>
    <xf numFmtId="0" fontId="28" fillId="0" borderId="0" xfId="20" applyFont="1"/>
    <xf numFmtId="0" fontId="29" fillId="0" borderId="0" xfId="20" applyFont="1"/>
    <xf numFmtId="0" fontId="13" fillId="0" borderId="0" xfId="20" applyFont="1"/>
    <xf numFmtId="4" fontId="37" fillId="0" borderId="1" xfId="4" applyNumberFormat="1" applyFont="1" applyBorder="1" applyAlignment="1" applyProtection="1">
      <alignment wrapText="1"/>
      <protection locked="0"/>
    </xf>
    <xf numFmtId="0" fontId="18" fillId="0" borderId="0" xfId="41"/>
    <xf numFmtId="0" fontId="52" fillId="0" borderId="2" xfId="42" applyNumberFormat="1" applyFont="1" applyBorder="1" applyAlignment="1" applyProtection="1">
      <alignment horizontal="center" vertical="center"/>
    </xf>
    <xf numFmtId="4" fontId="14" fillId="0" borderId="1" xfId="4" applyNumberFormat="1" applyFont="1" applyBorder="1" applyAlignment="1" applyProtection="1">
      <alignment wrapText="1"/>
      <protection locked="0"/>
    </xf>
    <xf numFmtId="0" fontId="68" fillId="0" borderId="2" xfId="42" applyNumberFormat="1" applyFont="1" applyFill="1" applyBorder="1" applyAlignment="1" applyProtection="1">
      <alignment horizontal="center" vertical="center"/>
    </xf>
    <xf numFmtId="0" fontId="68" fillId="0" borderId="2" xfId="42" applyNumberFormat="1" applyFont="1" applyBorder="1" applyAlignment="1" applyProtection="1">
      <alignment horizontal="center" vertical="center"/>
    </xf>
    <xf numFmtId="4" fontId="14" fillId="0" borderId="1" xfId="2" applyNumberFormat="1" applyFont="1" applyBorder="1" applyAlignment="1" applyProtection="1">
      <alignment wrapText="1"/>
      <protection locked="0"/>
    </xf>
    <xf numFmtId="4" fontId="15" fillId="0" borderId="1" xfId="2" applyNumberFormat="1" applyFont="1" applyBorder="1" applyAlignment="1" applyProtection="1">
      <alignment wrapText="1"/>
      <protection locked="0"/>
    </xf>
    <xf numFmtId="4" fontId="36" fillId="0" borderId="1" xfId="2" applyNumberFormat="1" applyFont="1" applyBorder="1" applyAlignment="1" applyProtection="1">
      <alignment wrapText="1"/>
      <protection locked="0"/>
    </xf>
    <xf numFmtId="4" fontId="28" fillId="0" borderId="1" xfId="2" applyNumberFormat="1" applyFont="1" applyBorder="1" applyAlignment="1" applyProtection="1">
      <alignment wrapText="1"/>
      <protection locked="0"/>
    </xf>
    <xf numFmtId="4" fontId="88" fillId="0" borderId="1" xfId="0" applyNumberFormat="1" applyFont="1" applyBorder="1" applyAlignment="1" applyProtection="1">
      <alignment wrapText="1"/>
      <protection locked="0"/>
    </xf>
    <xf numFmtId="4" fontId="23" fillId="0" borderId="1" xfId="0" applyNumberFormat="1" applyFont="1" applyBorder="1" applyAlignment="1" applyProtection="1">
      <alignment wrapText="1"/>
      <protection locked="0"/>
    </xf>
    <xf numFmtId="4" fontId="23" fillId="0" borderId="1" xfId="0" applyNumberFormat="1" applyFont="1" applyBorder="1" applyAlignment="1" applyProtection="1">
      <alignment wrapText="1" shrinkToFit="1" readingOrder="1"/>
      <protection locked="0"/>
    </xf>
    <xf numFmtId="0" fontId="15" fillId="5" borderId="1" xfId="3" applyFont="1" applyFill="1" applyBorder="1" applyAlignment="1">
      <alignment horizontal="left" vertical="top"/>
    </xf>
    <xf numFmtId="0" fontId="57" fillId="5" borderId="1" xfId="3" applyFont="1" applyFill="1" applyBorder="1" applyAlignment="1">
      <alignment horizontal="right" vertical="top"/>
    </xf>
    <xf numFmtId="4" fontId="57" fillId="5" borderId="1" xfId="3" applyNumberFormat="1" applyFont="1" applyFill="1" applyBorder="1" applyAlignment="1">
      <alignment horizontal="right" vertical="top"/>
    </xf>
    <xf numFmtId="0" fontId="19" fillId="0" borderId="0" xfId="19" applyFont="1"/>
    <xf numFmtId="0" fontId="19" fillId="0" borderId="1" xfId="3" applyFont="1" applyBorder="1" applyAlignment="1">
      <alignment horizontal="right" vertical="top"/>
    </xf>
    <xf numFmtId="0" fontId="96" fillId="0" borderId="1" xfId="3" applyFont="1" applyBorder="1" applyAlignment="1">
      <alignment horizontal="left" vertical="top"/>
    </xf>
    <xf numFmtId="0" fontId="96" fillId="0" borderId="1" xfId="3" applyFont="1" applyBorder="1" applyAlignment="1">
      <alignment horizontal="right" vertical="top"/>
    </xf>
    <xf numFmtId="4" fontId="96" fillId="0" borderId="1" xfId="3" applyNumberFormat="1" applyFont="1" applyBorder="1" applyAlignment="1">
      <alignment horizontal="right" vertical="top"/>
    </xf>
    <xf numFmtId="0" fontId="14" fillId="0" borderId="0" xfId="19" applyFont="1"/>
    <xf numFmtId="0" fontId="15" fillId="6" borderId="1" xfId="3" applyFont="1" applyFill="1" applyBorder="1" applyAlignment="1">
      <alignment horizontal="left" vertical="top"/>
    </xf>
    <xf numFmtId="0" fontId="57" fillId="6" borderId="1" xfId="3" applyFont="1" applyFill="1" applyBorder="1" applyAlignment="1">
      <alignment horizontal="right" vertical="top"/>
    </xf>
    <xf numFmtId="4" fontId="57" fillId="6" borderId="1" xfId="3" applyNumberFormat="1" applyFont="1" applyFill="1" applyBorder="1" applyAlignment="1">
      <alignment horizontal="right" vertical="top"/>
    </xf>
    <xf numFmtId="0" fontId="21" fillId="0" borderId="1" xfId="3" applyFont="1" applyBorder="1" applyAlignment="1">
      <alignment horizontal="right" vertical="top"/>
    </xf>
    <xf numFmtId="0" fontId="97" fillId="0" borderId="1" xfId="3" applyFont="1" applyBorder="1" applyAlignment="1">
      <alignment horizontal="left" vertical="top"/>
    </xf>
    <xf numFmtId="0" fontId="21" fillId="0" borderId="1" xfId="3" applyFont="1" applyBorder="1" applyAlignment="1">
      <alignment horizontal="left" vertical="top"/>
    </xf>
    <xf numFmtId="4" fontId="21" fillId="0" borderId="1" xfId="3" applyNumberFormat="1" applyFont="1" applyBorder="1" applyAlignment="1">
      <alignment horizontal="right" vertical="top"/>
    </xf>
    <xf numFmtId="0" fontId="15" fillId="0" borderId="0" xfId="19" applyFont="1"/>
    <xf numFmtId="12" fontId="19" fillId="0" borderId="1" xfId="3" applyNumberFormat="1" applyFont="1" applyBorder="1" applyAlignment="1">
      <alignment horizontal="left" vertical="top"/>
    </xf>
    <xf numFmtId="4" fontId="19" fillId="0" borderId="1" xfId="3" applyNumberFormat="1" applyFont="1" applyBorder="1" applyAlignment="1">
      <alignment horizontal="right" vertical="top"/>
    </xf>
    <xf numFmtId="0" fontId="21" fillId="5" borderId="1" xfId="3" applyFont="1" applyFill="1" applyBorder="1" applyAlignment="1">
      <alignment horizontal="right" vertical="top"/>
    </xf>
    <xf numFmtId="4" fontId="19" fillId="5" borderId="1" xfId="3" applyNumberFormat="1" applyFont="1" applyFill="1" applyBorder="1" applyAlignment="1">
      <alignment horizontal="right" vertical="top"/>
    </xf>
    <xf numFmtId="12" fontId="21" fillId="0" borderId="1" xfId="3" applyNumberFormat="1" applyFont="1" applyBorder="1" applyAlignment="1">
      <alignment horizontal="left" vertical="top"/>
    </xf>
    <xf numFmtId="0" fontId="15" fillId="2" borderId="1" xfId="3" applyFont="1" applyFill="1" applyBorder="1" applyAlignment="1">
      <alignment horizontal="left" vertical="top"/>
    </xf>
    <xf numFmtId="0" fontId="57" fillId="2" borderId="1" xfId="3" applyFont="1" applyFill="1" applyBorder="1" applyAlignment="1">
      <alignment horizontal="right" vertical="top"/>
    </xf>
    <xf numFmtId="4" fontId="57" fillId="2" borderId="1" xfId="3" applyNumberFormat="1" applyFont="1" applyFill="1" applyBorder="1" applyAlignment="1">
      <alignment horizontal="right" vertical="top"/>
    </xf>
    <xf numFmtId="4" fontId="14" fillId="0" borderId="1" xfId="0" applyNumberFormat="1" applyFont="1" applyBorder="1" applyProtection="1">
      <protection locked="0"/>
    </xf>
    <xf numFmtId="4" fontId="85" fillId="0" borderId="1" xfId="0" applyNumberFormat="1" applyFont="1" applyBorder="1" applyProtection="1">
      <protection locked="0"/>
    </xf>
    <xf numFmtId="4" fontId="49" fillId="0" borderId="1" xfId="0" applyNumberFormat="1" applyFont="1" applyBorder="1" applyProtection="1">
      <protection locked="0"/>
    </xf>
    <xf numFmtId="4" fontId="38" fillId="0" borderId="1" xfId="5" applyNumberFormat="1" applyFont="1" applyBorder="1" applyProtection="1">
      <protection locked="0"/>
    </xf>
    <xf numFmtId="0" fontId="85" fillId="0" borderId="0" xfId="47" applyFont="1" applyAlignment="1">
      <alignment horizontal="center" vertical="center"/>
    </xf>
    <xf numFmtId="0" fontId="85" fillId="0" borderId="0" xfId="47" applyFont="1" applyAlignment="1">
      <alignment horizontal="left" vertical="center"/>
    </xf>
    <xf numFmtId="0" fontId="107" fillId="0" borderId="0" xfId="48" applyFont="1"/>
    <xf numFmtId="0" fontId="85" fillId="0" borderId="0" xfId="47" applyFont="1" applyAlignment="1">
      <alignment horizontal="left" vertical="center" wrapText="1"/>
    </xf>
    <xf numFmtId="0" fontId="85" fillId="0" borderId="0" xfId="48" applyFont="1" applyAlignment="1">
      <alignment horizontal="center" vertical="center"/>
    </xf>
    <xf numFmtId="0" fontId="85" fillId="0" borderId="0" xfId="48" applyFont="1" applyAlignment="1">
      <alignment horizontal="left" vertical="center"/>
    </xf>
    <xf numFmtId="0" fontId="107" fillId="0" borderId="0" xfId="48" applyFont="1" applyAlignment="1">
      <alignment horizontal="center" vertical="center"/>
    </xf>
    <xf numFmtId="0" fontId="5" fillId="0" borderId="0" xfId="48"/>
    <xf numFmtId="199" fontId="115" fillId="0" borderId="0" xfId="52" applyNumberFormat="1" applyFont="1" applyBorder="1" applyAlignment="1" applyProtection="1">
      <protection locked="0"/>
    </xf>
    <xf numFmtId="4" fontId="118" fillId="0" borderId="0" xfId="55" applyNumberFormat="1" applyFont="1" applyAlignment="1" applyProtection="1">
      <protection locked="0"/>
    </xf>
    <xf numFmtId="199" fontId="124" fillId="0" borderId="0" xfId="55" applyNumberFormat="1" applyFont="1" applyAlignment="1" applyProtection="1">
      <protection locked="0"/>
    </xf>
    <xf numFmtId="197" fontId="110" fillId="11" borderId="10" xfId="49" applyNumberFormat="1" applyFont="1" applyFill="1" applyBorder="1" applyAlignment="1" applyProtection="1">
      <alignment wrapText="1"/>
      <protection locked="0"/>
    </xf>
    <xf numFmtId="0" fontId="21" fillId="5" borderId="1" xfId="3" applyFont="1" applyFill="1" applyBorder="1" applyAlignment="1">
      <alignment horizontal="right" vertical="top" wrapText="1"/>
    </xf>
    <xf numFmtId="4" fontId="23" fillId="0" borderId="0" xfId="48" applyNumberFormat="1" applyFont="1" applyAlignment="1" applyProtection="1">
      <alignment horizontal="center"/>
      <protection locked="0"/>
    </xf>
    <xf numFmtId="4" fontId="18" fillId="0" borderId="0" xfId="48" applyNumberFormat="1" applyFont="1" applyAlignment="1" applyProtection="1">
      <alignment horizontal="center"/>
      <protection locked="0"/>
    </xf>
    <xf numFmtId="4" fontId="129" fillId="0" borderId="0" xfId="48" applyNumberFormat="1" applyFont="1" applyAlignment="1" applyProtection="1">
      <alignment horizontal="justify" vertical="center"/>
      <protection locked="0"/>
    </xf>
    <xf numFmtId="0" fontId="21" fillId="6" borderId="1" xfId="3" applyFont="1" applyFill="1" applyBorder="1" applyAlignment="1">
      <alignment horizontal="right" vertical="top"/>
    </xf>
    <xf numFmtId="4" fontId="21" fillId="6" borderId="1" xfId="3" applyNumberFormat="1" applyFont="1" applyFill="1" applyBorder="1" applyAlignment="1">
      <alignment horizontal="right" vertical="top"/>
    </xf>
    <xf numFmtId="4" fontId="49" fillId="0" borderId="0" xfId="2" applyNumberFormat="1" applyFont="1" applyAlignment="1" applyProtection="1">
      <alignment vertical="top" wrapText="1"/>
      <protection locked="0"/>
    </xf>
    <xf numFmtId="4" fontId="84" fillId="16" borderId="0" xfId="3" applyNumberFormat="1" applyFont="1" applyFill="1" applyAlignment="1" applyProtection="1">
      <alignment vertical="top" wrapText="1"/>
      <protection locked="0"/>
    </xf>
    <xf numFmtId="4" fontId="84" fillId="0" borderId="0" xfId="3" applyNumberFormat="1" applyFont="1" applyAlignment="1" applyProtection="1">
      <alignment vertical="top" wrapText="1"/>
      <protection locked="0"/>
    </xf>
    <xf numFmtId="4" fontId="49" fillId="16" borderId="0" xfId="2" applyNumberFormat="1" applyFont="1" applyFill="1" applyAlignment="1" applyProtection="1">
      <alignment vertical="top" wrapText="1"/>
      <protection locked="0"/>
    </xf>
    <xf numFmtId="204" fontId="142" fillId="0" borderId="0" xfId="76" applyNumberFormat="1" applyFont="1" applyAlignment="1" applyProtection="1">
      <alignment horizontal="right" wrapText="1"/>
      <protection locked="0"/>
    </xf>
    <xf numFmtId="4" fontId="142" fillId="0" borderId="0" xfId="76" applyNumberFormat="1" applyFont="1" applyAlignment="1" applyProtection="1">
      <alignment horizontal="right"/>
      <protection locked="0"/>
    </xf>
    <xf numFmtId="204" fontId="142" fillId="0" borderId="0" xfId="76" applyNumberFormat="1" applyFont="1" applyAlignment="1" applyProtection="1">
      <alignment horizontal="right"/>
      <protection locked="0"/>
    </xf>
    <xf numFmtId="204" fontId="109" fillId="0" borderId="0" xfId="76" applyNumberFormat="1" applyFont="1" applyAlignment="1" applyProtection="1">
      <alignment horizontal="right"/>
      <protection locked="0"/>
    </xf>
    <xf numFmtId="4" fontId="144" fillId="0" borderId="0" xfId="76" applyNumberFormat="1" applyFont="1" applyAlignment="1" applyProtection="1">
      <alignment horizontal="right"/>
      <protection locked="0"/>
    </xf>
    <xf numFmtId="199" fontId="158" fillId="0" borderId="9" xfId="41" applyNumberFormat="1" applyFont="1" applyBorder="1" applyProtection="1">
      <protection locked="0"/>
    </xf>
    <xf numFmtId="0" fontId="170" fillId="0" borderId="35" xfId="41" applyFont="1" applyBorder="1" applyAlignment="1">
      <alignment horizontal="justify" vertical="center"/>
    </xf>
    <xf numFmtId="0" fontId="170" fillId="0" borderId="0" xfId="41" applyFont="1"/>
    <xf numFmtId="0" fontId="164" fillId="0" borderId="9" xfId="83" applyFont="1" applyBorder="1" applyAlignment="1">
      <alignment horizontal="center" vertical="center" wrapText="1"/>
    </xf>
    <xf numFmtId="49" fontId="164" fillId="0" borderId="9" xfId="83" applyNumberFormat="1" applyFont="1" applyBorder="1" applyAlignment="1">
      <alignment horizontal="left" vertical="center" wrapText="1"/>
    </xf>
    <xf numFmtId="0" fontId="164" fillId="0" borderId="9" xfId="83" applyFont="1" applyBorder="1" applyAlignment="1">
      <alignment horizontal="center" vertical="top" wrapText="1"/>
    </xf>
    <xf numFmtId="0" fontId="173" fillId="0" borderId="0" xfId="41" applyFont="1" applyAlignment="1">
      <alignment horizontal="justify" vertical="top"/>
    </xf>
    <xf numFmtId="0" fontId="174" fillId="0" borderId="0" xfId="41" applyFont="1" applyAlignment="1">
      <alignment horizontal="justify" vertical="top"/>
    </xf>
    <xf numFmtId="4" fontId="175" fillId="0" borderId="0" xfId="41" applyNumberFormat="1" applyFont="1" applyAlignment="1">
      <alignment horizontal="justify" vertical="center"/>
    </xf>
    <xf numFmtId="4" fontId="176" fillId="0" borderId="0" xfId="41" applyNumberFormat="1" applyFont="1" applyAlignment="1">
      <alignment horizontal="justify" vertical="center"/>
    </xf>
    <xf numFmtId="0" fontId="177" fillId="0" borderId="0" xfId="41" applyFont="1" applyAlignment="1">
      <alignment vertical="top" wrapText="1"/>
    </xf>
    <xf numFmtId="0" fontId="18" fillId="0" borderId="0" xfId="41" applyAlignment="1">
      <alignment horizontal="justify"/>
    </xf>
    <xf numFmtId="0" fontId="170" fillId="0" borderId="0" xfId="41" applyFont="1" applyAlignment="1">
      <alignment horizontal="justify"/>
    </xf>
    <xf numFmtId="0" fontId="56" fillId="0" borderId="0" xfId="84" applyFont="1" applyAlignment="1">
      <alignment horizontal="right" vertical="top" wrapText="1"/>
    </xf>
    <xf numFmtId="4" fontId="56" fillId="0" borderId="0" xfId="84" applyNumberFormat="1" applyFont="1" applyAlignment="1">
      <alignment horizontal="left" vertical="top" wrapText="1"/>
    </xf>
    <xf numFmtId="10" fontId="178" fillId="0" borderId="27" xfId="84" applyNumberFormat="1" applyFont="1" applyBorder="1" applyAlignment="1">
      <alignment horizontal="right" vertical="top" wrapText="1"/>
    </xf>
    <xf numFmtId="206" fontId="56" fillId="0" borderId="27" xfId="84" applyNumberFormat="1" applyFont="1" applyBorder="1" applyAlignment="1">
      <alignment horizontal="right" vertical="top" wrapText="1"/>
    </xf>
    <xf numFmtId="181" fontId="56" fillId="0" borderId="27" xfId="84" applyNumberFormat="1" applyFont="1" applyBorder="1" applyAlignment="1">
      <alignment horizontal="right" vertical="top" wrapText="1"/>
    </xf>
    <xf numFmtId="0" fontId="179" fillId="0" borderId="0" xfId="41" applyFont="1" applyAlignment="1">
      <alignment horizontal="justify"/>
    </xf>
    <xf numFmtId="207" fontId="18" fillId="0" borderId="0" xfId="41" applyNumberFormat="1" applyAlignment="1">
      <alignment horizontal="justify"/>
    </xf>
    <xf numFmtId="0" fontId="56" fillId="0" borderId="0" xfId="41" applyFont="1" applyAlignment="1">
      <alignment horizontal="right"/>
    </xf>
    <xf numFmtId="10" fontId="178" fillId="0" borderId="0" xfId="84" applyNumberFormat="1" applyFont="1" applyAlignment="1">
      <alignment horizontal="right" vertical="top" wrapText="1"/>
    </xf>
    <xf numFmtId="206" fontId="56" fillId="0" borderId="0" xfId="84" applyNumberFormat="1" applyFont="1" applyAlignment="1">
      <alignment horizontal="right" vertical="top" wrapText="1"/>
    </xf>
    <xf numFmtId="181" fontId="56" fillId="0" borderId="0" xfId="84" applyNumberFormat="1" applyFont="1" applyAlignment="1">
      <alignment horizontal="right" vertical="top" wrapText="1"/>
    </xf>
    <xf numFmtId="0" fontId="56" fillId="0" borderId="0" xfId="84" applyFont="1" applyAlignment="1">
      <alignment horizontal="left" vertical="top" wrapText="1"/>
    </xf>
    <xf numFmtId="0" fontId="180" fillId="0" borderId="0" xfId="41" applyFont="1" applyAlignment="1">
      <alignment horizontal="justify"/>
    </xf>
    <xf numFmtId="180" fontId="56" fillId="0" borderId="0" xfId="84" applyNumberFormat="1" applyFont="1" applyAlignment="1">
      <alignment horizontal="right" vertical="top" wrapText="1"/>
    </xf>
    <xf numFmtId="0" fontId="166" fillId="0" borderId="0" xfId="84" applyFont="1" applyAlignment="1">
      <alignment horizontal="left" vertical="top" wrapText="1"/>
    </xf>
    <xf numFmtId="10" fontId="181" fillId="0" borderId="0" xfId="84" applyNumberFormat="1" applyFont="1" applyAlignment="1">
      <alignment horizontal="right" vertical="top" wrapText="1"/>
    </xf>
    <xf numFmtId="206" fontId="166" fillId="0" borderId="0" xfId="84" applyNumberFormat="1" applyFont="1" applyAlignment="1">
      <alignment horizontal="right" vertical="top" wrapText="1"/>
    </xf>
    <xf numFmtId="180" fontId="166" fillId="0" borderId="0" xfId="84" applyNumberFormat="1" applyFont="1" applyAlignment="1">
      <alignment horizontal="right" vertical="top" wrapText="1"/>
    </xf>
    <xf numFmtId="0" fontId="166" fillId="0" borderId="7" xfId="84" applyFont="1" applyBorder="1" applyAlignment="1">
      <alignment horizontal="left" vertical="top" wrapText="1"/>
    </xf>
    <xf numFmtId="10" fontId="181" fillId="0" borderId="7" xfId="84" applyNumberFormat="1" applyFont="1" applyBorder="1" applyAlignment="1">
      <alignment horizontal="right" vertical="top" wrapText="1"/>
    </xf>
    <xf numFmtId="206" fontId="166" fillId="0" borderId="7" xfId="84" applyNumberFormat="1" applyFont="1" applyBorder="1" applyAlignment="1">
      <alignment horizontal="right" vertical="top" wrapText="1"/>
    </xf>
    <xf numFmtId="180" fontId="166" fillId="0" borderId="7" xfId="84" applyNumberFormat="1" applyFont="1" applyBorder="1" applyAlignment="1">
      <alignment horizontal="right" vertical="top" wrapText="1"/>
    </xf>
    <xf numFmtId="4" fontId="23" fillId="0" borderId="0" xfId="41" quotePrefix="1" applyNumberFormat="1" applyFont="1" applyAlignment="1">
      <alignment horizontal="center" vertical="top"/>
    </xf>
    <xf numFmtId="0" fontId="182" fillId="0" borderId="0" xfId="41" applyFont="1"/>
    <xf numFmtId="4" fontId="183" fillId="0" borderId="0" xfId="41" applyNumberFormat="1" applyFont="1" applyAlignment="1">
      <alignment horizontal="justify" vertical="center"/>
    </xf>
    <xf numFmtId="0" fontId="123" fillId="0" borderId="0" xfId="41" applyFont="1" applyAlignment="1">
      <alignment horizontal="center" vertical="center"/>
    </xf>
    <xf numFmtId="3" fontId="23" fillId="0" borderId="0" xfId="41" applyNumberFormat="1" applyFont="1" applyAlignment="1">
      <alignment horizontal="center" vertical="center"/>
    </xf>
    <xf numFmtId="208" fontId="184" fillId="0" borderId="0" xfId="41" applyNumberFormat="1" applyFont="1" applyAlignment="1">
      <alignment horizontal="justify" vertical="center"/>
    </xf>
    <xf numFmtId="4" fontId="23" fillId="0" borderId="0" xfId="41" applyNumberFormat="1" applyFont="1" applyAlignment="1">
      <alignment horizontal="justify" vertical="top"/>
    </xf>
    <xf numFmtId="0" fontId="23" fillId="0" borderId="41" xfId="85" applyBorder="1"/>
    <xf numFmtId="204" fontId="56" fillId="0" borderId="41" xfId="85" applyNumberFormat="1" applyFont="1" applyBorder="1" applyAlignment="1">
      <alignment horizontal="right" vertical="center"/>
    </xf>
    <xf numFmtId="20" fontId="23" fillId="0" borderId="0" xfId="41" quotePrefix="1" applyNumberFormat="1" applyFont="1" applyAlignment="1">
      <alignment horizontal="justify" vertical="top"/>
    </xf>
    <xf numFmtId="0" fontId="23" fillId="0" borderId="0" xfId="41" applyFont="1"/>
    <xf numFmtId="204" fontId="56" fillId="0" borderId="0" xfId="41" applyNumberFormat="1" applyFont="1" applyAlignment="1">
      <alignment horizontal="right"/>
    </xf>
    <xf numFmtId="0" fontId="23" fillId="0" borderId="41" xfId="41" applyFont="1" applyBorder="1"/>
    <xf numFmtId="10" fontId="23" fillId="0" borderId="41" xfId="41" applyNumberFormat="1" applyFont="1" applyBorder="1"/>
    <xf numFmtId="204" fontId="56" fillId="0" borderId="41" xfId="41" applyNumberFormat="1" applyFont="1" applyBorder="1" applyAlignment="1">
      <alignment horizontal="right"/>
    </xf>
    <xf numFmtId="0" fontId="23" fillId="0" borderId="42" xfId="41" applyFont="1" applyBorder="1"/>
    <xf numFmtId="10" fontId="23" fillId="0" borderId="42" xfId="41" applyNumberFormat="1" applyFont="1" applyBorder="1"/>
    <xf numFmtId="2" fontId="56" fillId="0" borderId="42" xfId="41" applyNumberFormat="1" applyFont="1" applyBorder="1" applyAlignment="1">
      <alignment horizontal="right"/>
    </xf>
    <xf numFmtId="0" fontId="23" fillId="0" borderId="14" xfId="41" applyFont="1" applyBorder="1"/>
    <xf numFmtId="0" fontId="56" fillId="0" borderId="14" xfId="41" applyFont="1" applyBorder="1" applyAlignment="1">
      <alignment horizontal="right"/>
    </xf>
    <xf numFmtId="20" fontId="170" fillId="0" borderId="0" xfId="41" quotePrefix="1" applyNumberFormat="1" applyFont="1" applyAlignment="1">
      <alignment horizontal="justify" vertical="top"/>
    </xf>
    <xf numFmtId="0" fontId="179" fillId="0" borderId="0" xfId="41" applyFont="1" applyAlignment="1">
      <alignment horizontal="center" vertical="center"/>
    </xf>
    <xf numFmtId="3" fontId="170" fillId="0" borderId="0" xfId="41" applyNumberFormat="1" applyFont="1" applyAlignment="1">
      <alignment horizontal="center" vertical="center"/>
    </xf>
    <xf numFmtId="20" fontId="170" fillId="0" borderId="0" xfId="41" quotePrefix="1" applyNumberFormat="1" applyFont="1" applyAlignment="1">
      <alignment horizontal="justify" vertical="center"/>
    </xf>
    <xf numFmtId="0" fontId="179" fillId="0" borderId="0" xfId="41" applyFont="1" applyAlignment="1">
      <alignment horizontal="justify" wrapText="1"/>
    </xf>
    <xf numFmtId="0" fontId="171" fillId="0" borderId="0" xfId="41" applyFont="1" applyAlignment="1">
      <alignment horizontal="justify" vertical="center"/>
    </xf>
    <xf numFmtId="208" fontId="129" fillId="0" borderId="0" xfId="41" applyNumberFormat="1" applyFont="1" applyAlignment="1">
      <alignment horizontal="justify" vertical="center"/>
    </xf>
    <xf numFmtId="0" fontId="179" fillId="0" borderId="0" xfId="41" applyFont="1" applyAlignment="1">
      <alignment horizontal="justify" vertical="center"/>
    </xf>
    <xf numFmtId="208" fontId="136" fillId="0" borderId="0" xfId="86" applyNumberFormat="1" applyFont="1" applyBorder="1" applyAlignment="1">
      <alignment horizontal="justify" vertical="center"/>
    </xf>
    <xf numFmtId="0" fontId="18" fillId="0" borderId="0" xfId="41" applyAlignment="1">
      <alignment horizontal="justify" vertical="center"/>
    </xf>
    <xf numFmtId="0" fontId="185" fillId="0" borderId="0" xfId="41" applyFont="1" applyAlignment="1">
      <alignment horizontal="justify"/>
    </xf>
    <xf numFmtId="0" fontId="185" fillId="0" borderId="0" xfId="41" applyFont="1"/>
    <xf numFmtId="4" fontId="164" fillId="20" borderId="27" xfId="88" applyNumberFormat="1" applyFont="1" applyFill="1" applyBorder="1" applyAlignment="1" applyProtection="1">
      <alignment horizontal="right" wrapText="1"/>
      <protection locked="0"/>
    </xf>
    <xf numFmtId="4" fontId="164" fillId="20" borderId="0" xfId="88" applyNumberFormat="1" applyFont="1" applyFill="1" applyAlignment="1" applyProtection="1">
      <alignment horizontal="right" wrapText="1"/>
      <protection locked="0"/>
    </xf>
    <xf numFmtId="210" fontId="190" fillId="0" borderId="0" xfId="91" applyNumberFormat="1" applyFont="1" applyBorder="1" applyAlignment="1" applyProtection="1">
      <alignment horizontal="center"/>
    </xf>
    <xf numFmtId="211" fontId="190" fillId="0" borderId="0" xfId="91" applyNumberFormat="1" applyFont="1" applyBorder="1" applyAlignment="1" applyProtection="1">
      <alignment horizontal="center"/>
      <protection locked="0"/>
    </xf>
    <xf numFmtId="211" fontId="190" fillId="0" borderId="0" xfId="91" applyNumberFormat="1" applyFont="1" applyBorder="1" applyAlignment="1" applyProtection="1"/>
    <xf numFmtId="211" fontId="190" fillId="0" borderId="0" xfId="91" applyNumberFormat="1" applyFont="1" applyBorder="1" applyAlignment="1" applyProtection="1">
      <alignment horizontal="center"/>
    </xf>
    <xf numFmtId="4" fontId="193" fillId="0" borderId="0" xfId="94" applyNumberFormat="1" applyFont="1" applyAlignment="1" applyProtection="1">
      <alignment horizontal="center" wrapText="1"/>
      <protection locked="0"/>
    </xf>
    <xf numFmtId="4" fontId="164" fillId="20" borderId="27" xfId="84" applyNumberFormat="1" applyFont="1" applyFill="1" applyBorder="1" applyAlignment="1" applyProtection="1">
      <alignment horizontal="center" wrapText="1"/>
      <protection locked="0"/>
    </xf>
    <xf numFmtId="4" fontId="165" fillId="20" borderId="21" xfId="94" applyNumberFormat="1" applyFont="1" applyFill="1" applyBorder="1" applyAlignment="1" applyProtection="1">
      <alignment horizontal="right" wrapText="1"/>
      <protection locked="0"/>
    </xf>
    <xf numFmtId="4" fontId="165" fillId="20" borderId="27" xfId="94" applyNumberFormat="1" applyFont="1" applyFill="1" applyBorder="1" applyAlignment="1" applyProtection="1">
      <alignment horizontal="right" wrapText="1"/>
      <protection locked="0"/>
    </xf>
    <xf numFmtId="4" fontId="165" fillId="20" borderId="27" xfId="88" applyNumberFormat="1" applyFont="1" applyFill="1" applyBorder="1" applyAlignment="1" applyProtection="1">
      <alignment horizontal="right" wrapText="1"/>
      <protection locked="0"/>
    </xf>
    <xf numFmtId="4" fontId="164" fillId="20" borderId="21" xfId="88" applyNumberFormat="1" applyFont="1" applyFill="1" applyBorder="1" applyAlignment="1" applyProtection="1">
      <alignment horizontal="right" wrapText="1"/>
      <protection locked="0"/>
    </xf>
    <xf numFmtId="4" fontId="164" fillId="20" borderId="27" xfId="88" applyNumberFormat="1" applyFont="1" applyFill="1" applyBorder="1" applyAlignment="1" applyProtection="1">
      <alignment horizontal="center" wrapText="1"/>
      <protection locked="0"/>
    </xf>
    <xf numFmtId="4" fontId="164" fillId="20" borderId="27" xfId="112" applyNumberFormat="1" applyFont="1" applyFill="1" applyBorder="1" applyAlignment="1" applyProtection="1">
      <alignment horizontal="center"/>
      <protection locked="0"/>
    </xf>
    <xf numFmtId="4" fontId="164" fillId="20" borderId="21" xfId="88" applyNumberFormat="1" applyFont="1" applyFill="1" applyBorder="1" applyAlignment="1" applyProtection="1">
      <alignment horizontal="center"/>
      <protection locked="0"/>
    </xf>
    <xf numFmtId="4" fontId="164" fillId="20" borderId="0" xfId="95" applyNumberFormat="1" applyFont="1" applyFill="1" applyAlignment="1" applyProtection="1">
      <alignment horizontal="center" wrapText="1"/>
      <protection locked="0"/>
    </xf>
    <xf numFmtId="4" fontId="164" fillId="20" borderId="27" xfId="94" applyNumberFormat="1" applyFont="1" applyFill="1" applyBorder="1" applyAlignment="1" applyProtection="1">
      <alignment horizontal="center" wrapText="1"/>
      <protection locked="0"/>
    </xf>
    <xf numFmtId="4" fontId="164" fillId="20" borderId="0" xfId="88" applyNumberFormat="1" applyFont="1" applyFill="1" applyAlignment="1" applyProtection="1">
      <alignment horizontal="center"/>
      <protection locked="0"/>
    </xf>
    <xf numFmtId="4" fontId="164" fillId="20" borderId="21" xfId="88" applyNumberFormat="1" applyFont="1" applyFill="1" applyBorder="1" applyAlignment="1" applyProtection="1">
      <alignment horizontal="center" wrapText="1"/>
      <protection locked="0"/>
    </xf>
    <xf numFmtId="4" fontId="164" fillId="20" borderId="0" xfId="88" applyNumberFormat="1" applyFont="1" applyFill="1" applyAlignment="1" applyProtection="1">
      <alignment horizontal="center" wrapText="1"/>
      <protection locked="0"/>
    </xf>
    <xf numFmtId="4" fontId="165" fillId="20" borderId="27" xfId="88" applyNumberFormat="1" applyFont="1" applyFill="1" applyBorder="1" applyAlignment="1" applyProtection="1">
      <alignment horizontal="center" wrapText="1"/>
      <protection locked="0"/>
    </xf>
    <xf numFmtId="4" fontId="165" fillId="20" borderId="0" xfId="88" applyNumberFormat="1" applyFont="1" applyFill="1" applyAlignment="1" applyProtection="1">
      <alignment horizontal="center" wrapText="1"/>
      <protection locked="0"/>
    </xf>
    <xf numFmtId="0" fontId="64" fillId="0" borderId="0" xfId="117" applyFont="1" applyAlignment="1">
      <alignment wrapText="1"/>
    </xf>
    <xf numFmtId="0" fontId="19" fillId="0" borderId="0" xfId="117" applyFont="1"/>
    <xf numFmtId="0" fontId="14" fillId="0" borderId="0" xfId="117" applyFont="1" applyAlignment="1">
      <alignment wrapText="1"/>
    </xf>
    <xf numFmtId="0" fontId="14" fillId="0" borderId="0" xfId="117" applyFont="1"/>
    <xf numFmtId="0" fontId="14" fillId="0" borderId="0" xfId="0" applyFont="1" applyAlignment="1">
      <alignment horizontal="justify" vertical="center"/>
    </xf>
    <xf numFmtId="0" fontId="65" fillId="0" borderId="0" xfId="117" applyFont="1"/>
    <xf numFmtId="0" fontId="64" fillId="0" borderId="0" xfId="117" applyFont="1"/>
    <xf numFmtId="0" fontId="15" fillId="0" borderId="0" xfId="117" applyFont="1"/>
    <xf numFmtId="0" fontId="14" fillId="0" borderId="0" xfId="117" applyFont="1" applyAlignment="1">
      <alignment vertical="top" wrapText="1"/>
    </xf>
    <xf numFmtId="0" fontId="219" fillId="0" borderId="0" xfId="117" applyFont="1"/>
    <xf numFmtId="0" fontId="15" fillId="0" borderId="0" xfId="117" applyFont="1" applyAlignment="1">
      <alignment wrapText="1"/>
    </xf>
    <xf numFmtId="0" fontId="15" fillId="0" borderId="0" xfId="0" applyFont="1" applyAlignment="1">
      <alignment horizontal="justify" vertical="center"/>
    </xf>
    <xf numFmtId="0" fontId="14" fillId="5" borderId="2" xfId="3" applyFont="1" applyFill="1" applyBorder="1" applyAlignment="1">
      <alignment horizontal="right" vertical="top"/>
    </xf>
    <xf numFmtId="180" fontId="57" fillId="5" borderId="3" xfId="3" applyNumberFormat="1" applyFont="1" applyFill="1" applyBorder="1" applyAlignment="1">
      <alignment horizontal="right" vertical="top"/>
    </xf>
    <xf numFmtId="0" fontId="19" fillId="0" borderId="2" xfId="3" applyFont="1" applyBorder="1" applyAlignment="1">
      <alignment horizontal="right" vertical="top"/>
    </xf>
    <xf numFmtId="180" fontId="96" fillId="0" borderId="3" xfId="3" applyNumberFormat="1" applyFont="1" applyBorder="1" applyAlignment="1">
      <alignment horizontal="right" vertical="top"/>
    </xf>
    <xf numFmtId="0" fontId="15" fillId="6" borderId="2" xfId="3" applyFont="1" applyFill="1" applyBorder="1" applyAlignment="1">
      <alignment horizontal="right" vertical="top"/>
    </xf>
    <xf numFmtId="180" fontId="57" fillId="6" borderId="3" xfId="3" applyNumberFormat="1" applyFont="1" applyFill="1" applyBorder="1" applyAlignment="1">
      <alignment horizontal="right" vertical="top"/>
    </xf>
    <xf numFmtId="0" fontId="21" fillId="0" borderId="2" xfId="3" applyFont="1" applyBorder="1" applyAlignment="1">
      <alignment horizontal="right" vertical="top"/>
    </xf>
    <xf numFmtId="12" fontId="21" fillId="0" borderId="2" xfId="3" applyNumberFormat="1" applyFont="1" applyBorder="1" applyAlignment="1">
      <alignment horizontal="right" vertical="top"/>
    </xf>
    <xf numFmtId="181" fontId="21" fillId="0" borderId="3" xfId="3" applyNumberFormat="1" applyFont="1" applyBorder="1" applyAlignment="1">
      <alignment horizontal="right" vertical="top"/>
    </xf>
    <xf numFmtId="0" fontId="21" fillId="5" borderId="2" xfId="3" applyFont="1" applyFill="1" applyBorder="1" applyAlignment="1">
      <alignment horizontal="right" vertical="top"/>
    </xf>
    <xf numFmtId="181" fontId="21" fillId="5" borderId="3" xfId="3" applyNumberFormat="1" applyFont="1" applyFill="1" applyBorder="1" applyAlignment="1">
      <alignment horizontal="right" vertical="top"/>
    </xf>
    <xf numFmtId="181" fontId="96" fillId="0" borderId="3" xfId="3" applyNumberFormat="1" applyFont="1" applyBorder="1" applyAlignment="1">
      <alignment horizontal="right" vertical="top"/>
    </xf>
    <xf numFmtId="12" fontId="19" fillId="0" borderId="2" xfId="3" applyNumberFormat="1" applyFont="1" applyBorder="1" applyAlignment="1">
      <alignment horizontal="right" vertical="top"/>
    </xf>
    <xf numFmtId="181" fontId="19" fillId="0" borderId="3" xfId="3" applyNumberFormat="1" applyFont="1" applyBorder="1" applyAlignment="1">
      <alignment horizontal="right" vertical="top"/>
    </xf>
    <xf numFmtId="0" fontId="19" fillId="0" borderId="2" xfId="19" applyFont="1" applyBorder="1" applyAlignment="1">
      <alignment horizontal="right"/>
    </xf>
    <xf numFmtId="0" fontId="19" fillId="0" borderId="1" xfId="19" applyFont="1" applyBorder="1"/>
    <xf numFmtId="181" fontId="19" fillId="0" borderId="3" xfId="19" applyNumberFormat="1" applyFont="1" applyBorder="1"/>
    <xf numFmtId="181" fontId="15" fillId="6" borderId="3" xfId="3" applyNumberFormat="1" applyFont="1" applyFill="1" applyBorder="1" applyAlignment="1">
      <alignment horizontal="right" vertical="top"/>
    </xf>
    <xf numFmtId="0" fontId="15" fillId="0" borderId="2" xfId="3" applyFont="1" applyBorder="1" applyAlignment="1">
      <alignment horizontal="right" vertical="top"/>
    </xf>
    <xf numFmtId="0" fontId="15" fillId="0" borderId="1" xfId="3" applyFont="1" applyBorder="1" applyAlignment="1">
      <alignment horizontal="left" vertical="top"/>
    </xf>
    <xf numFmtId="0" fontId="57" fillId="0" borderId="1" xfId="3" applyFont="1" applyBorder="1" applyAlignment="1">
      <alignment horizontal="right" vertical="top"/>
    </xf>
    <xf numFmtId="4" fontId="57" fillId="0" borderId="1" xfId="3" applyNumberFormat="1" applyFont="1" applyBorder="1" applyAlignment="1">
      <alignment horizontal="right" vertical="top"/>
    </xf>
    <xf numFmtId="180" fontId="57" fillId="0" borderId="3" xfId="3" applyNumberFormat="1" applyFont="1" applyBorder="1" applyAlignment="1">
      <alignment horizontal="right" vertical="top"/>
    </xf>
    <xf numFmtId="12" fontId="19" fillId="0" borderId="2" xfId="3" applyNumberFormat="1" applyFont="1" applyBorder="1" applyAlignment="1">
      <alignment horizontal="right"/>
    </xf>
    <xf numFmtId="181" fontId="21" fillId="6" borderId="3" xfId="3" applyNumberFormat="1" applyFont="1" applyFill="1" applyBorder="1" applyAlignment="1">
      <alignment horizontal="right" vertical="top"/>
    </xf>
    <xf numFmtId="0" fontId="15" fillId="2" borderId="2" xfId="3" applyFont="1" applyFill="1" applyBorder="1" applyAlignment="1">
      <alignment horizontal="right" vertical="top"/>
    </xf>
    <xf numFmtId="180" fontId="57" fillId="2" borderId="3" xfId="3" applyNumberFormat="1" applyFont="1" applyFill="1" applyBorder="1" applyAlignment="1">
      <alignment horizontal="right" vertical="top"/>
    </xf>
    <xf numFmtId="0" fontId="19" fillId="2" borderId="2" xfId="19" applyFont="1" applyFill="1" applyBorder="1" applyAlignment="1">
      <alignment horizontal="right"/>
    </xf>
    <xf numFmtId="0" fontId="15" fillId="2" borderId="1" xfId="19" applyFont="1" applyFill="1" applyBorder="1"/>
    <xf numFmtId="0" fontId="19" fillId="2" borderId="1" xfId="19" applyFont="1" applyFill="1" applyBorder="1"/>
    <xf numFmtId="181" fontId="15" fillId="2" borderId="3" xfId="19" applyNumberFormat="1" applyFont="1" applyFill="1" applyBorder="1"/>
    <xf numFmtId="0" fontId="19" fillId="7" borderId="2" xfId="19" applyFont="1" applyFill="1" applyBorder="1" applyAlignment="1">
      <alignment horizontal="right"/>
    </xf>
    <xf numFmtId="0" fontId="15" fillId="7" borderId="1" xfId="19" applyFont="1" applyFill="1" applyBorder="1"/>
    <xf numFmtId="0" fontId="19" fillId="7" borderId="1" xfId="19" applyFont="1" applyFill="1" applyBorder="1"/>
    <xf numFmtId="181" fontId="15" fillId="7" borderId="3" xfId="19" applyNumberFormat="1" applyFont="1" applyFill="1" applyBorder="1"/>
    <xf numFmtId="180" fontId="19" fillId="0" borderId="3" xfId="19" applyNumberFormat="1" applyFont="1" applyBorder="1"/>
    <xf numFmtId="201" fontId="20" fillId="0" borderId="0" xfId="123" applyNumberFormat="1" applyFont="1" applyFill="1" applyBorder="1" applyAlignment="1" applyProtection="1">
      <alignment horizontal="center" vertical="top"/>
    </xf>
    <xf numFmtId="0" fontId="90" fillId="0" borderId="0" xfId="46" applyFont="1"/>
    <xf numFmtId="2" fontId="90" fillId="0" borderId="0" xfId="46" applyNumberFormat="1" applyFont="1" applyAlignment="1">
      <alignment horizontal="justify" vertical="top"/>
    </xf>
    <xf numFmtId="2" fontId="85" fillId="0" borderId="0" xfId="46" applyNumberFormat="1" applyFont="1" applyAlignment="1">
      <alignment horizontal="justify" vertical="top"/>
    </xf>
    <xf numFmtId="0" fontId="93" fillId="0" borderId="0" xfId="46" applyFont="1"/>
    <xf numFmtId="2" fontId="85" fillId="0" borderId="0" xfId="46" applyNumberFormat="1" applyFont="1" applyAlignment="1">
      <alignment horizontal="left"/>
    </xf>
    <xf numFmtId="4" fontId="85" fillId="0" borderId="0" xfId="46" applyNumberFormat="1" applyFont="1" applyAlignment="1">
      <alignment horizontal="right"/>
    </xf>
    <xf numFmtId="2" fontId="85" fillId="0" borderId="0" xfId="46" applyNumberFormat="1" applyFont="1" applyAlignment="1">
      <alignment horizontal="right"/>
    </xf>
    <xf numFmtId="0" fontId="90" fillId="0" borderId="0" xfId="46" applyFont="1" applyAlignment="1">
      <alignment vertical="top"/>
    </xf>
    <xf numFmtId="0" fontId="94" fillId="0" borderId="0" xfId="46" applyFont="1" applyAlignment="1">
      <alignment horizontal="justify" vertical="top"/>
    </xf>
    <xf numFmtId="0" fontId="94" fillId="0" borderId="0" xfId="46" applyFont="1" applyAlignment="1">
      <alignment horizontal="left"/>
    </xf>
    <xf numFmtId="4" fontId="94" fillId="0" borderId="0" xfId="46" applyNumberFormat="1" applyFont="1" applyAlignment="1">
      <alignment horizontal="right"/>
    </xf>
    <xf numFmtId="0" fontId="94" fillId="0" borderId="0" xfId="46" applyFont="1"/>
    <xf numFmtId="4" fontId="94" fillId="0" borderId="0" xfId="46" applyNumberFormat="1" applyFont="1"/>
    <xf numFmtId="0" fontId="95" fillId="0" borderId="0" xfId="46" applyFont="1" applyAlignment="1">
      <alignment vertical="top"/>
    </xf>
    <xf numFmtId="0" fontId="85" fillId="0" borderId="0" xfId="46" applyFont="1" applyAlignment="1">
      <alignment horizontal="justify" vertical="top" wrapText="1"/>
    </xf>
    <xf numFmtId="0" fontId="85" fillId="0" borderId="0" xfId="46" applyFont="1" applyAlignment="1">
      <alignment horizontal="justify"/>
    </xf>
    <xf numFmtId="0" fontId="85" fillId="0" borderId="0" xfId="46" applyFont="1" applyAlignment="1">
      <alignment horizontal="left"/>
    </xf>
    <xf numFmtId="0" fontId="85" fillId="0" borderId="0" xfId="46" applyFont="1" applyAlignment="1">
      <alignment horizontal="justify" vertical="top"/>
    </xf>
    <xf numFmtId="0" fontId="93" fillId="0" borderId="0" xfId="46" applyFont="1" applyAlignment="1">
      <alignment horizontal="justify" vertical="top" wrapText="1"/>
    </xf>
    <xf numFmtId="0" fontId="90" fillId="0" borderId="0" xfId="46" applyFont="1" applyAlignment="1">
      <alignment horizontal="justify" vertical="top"/>
    </xf>
    <xf numFmtId="0" fontId="85" fillId="0" borderId="0" xfId="46" applyFont="1" applyAlignment="1">
      <alignment horizontal="left" wrapText="1"/>
    </xf>
    <xf numFmtId="4" fontId="85" fillId="0" borderId="0" xfId="46" applyNumberFormat="1" applyFont="1"/>
    <xf numFmtId="0" fontId="85" fillId="0" borderId="0" xfId="46" applyFont="1" applyAlignment="1">
      <alignment horizontal="justify" wrapText="1"/>
    </xf>
    <xf numFmtId="4" fontId="85" fillId="0" borderId="0" xfId="46" applyNumberFormat="1" applyFont="1" applyAlignment="1">
      <alignment horizontal="justify"/>
    </xf>
    <xf numFmtId="4" fontId="85" fillId="0" borderId="0" xfId="46" applyNumberFormat="1" applyFont="1" applyAlignment="1">
      <alignment horizontal="right" wrapText="1"/>
    </xf>
    <xf numFmtId="0" fontId="90" fillId="0" borderId="0" xfId="46" applyFont="1" applyAlignment="1">
      <alignment horizontal="justify" vertical="top" wrapText="1"/>
    </xf>
    <xf numFmtId="0" fontId="85" fillId="0" borderId="0" xfId="46" applyFont="1"/>
    <xf numFmtId="0" fontId="93" fillId="0" borderId="0" xfId="46" applyFont="1" applyAlignment="1">
      <alignment horizontal="justify" vertical="top"/>
    </xf>
    <xf numFmtId="0" fontId="93" fillId="0" borderId="0" xfId="46" applyFont="1" applyAlignment="1">
      <alignment vertical="top"/>
    </xf>
    <xf numFmtId="0" fontId="85" fillId="0" borderId="0" xfId="46" applyFont="1" applyAlignment="1">
      <alignment horizontal="left" vertical="top" wrapText="1"/>
    </xf>
    <xf numFmtId="0" fontId="90" fillId="0" borderId="0" xfId="46" applyFont="1" applyAlignment="1">
      <alignment horizontal="justify" vertical="justify" wrapText="1"/>
    </xf>
    <xf numFmtId="0" fontId="85" fillId="0" borderId="0" xfId="46" applyFont="1" applyAlignment="1">
      <alignment horizontal="center"/>
    </xf>
    <xf numFmtId="4" fontId="93" fillId="0" borderId="0" xfId="46" applyNumberFormat="1" applyFont="1"/>
    <xf numFmtId="0" fontId="85" fillId="0" borderId="0" xfId="46" applyFont="1" applyAlignment="1">
      <alignment horizontal="center" vertical="top"/>
    </xf>
    <xf numFmtId="0" fontId="85" fillId="0" borderId="0" xfId="46" applyFont="1" applyAlignment="1">
      <alignment horizontal="justify" vertical="justify" wrapText="1"/>
    </xf>
    <xf numFmtId="0" fontId="93" fillId="0" borderId="0" xfId="46" applyFont="1" applyAlignment="1">
      <alignment horizontal="justify" vertical="justify" wrapText="1"/>
    </xf>
    <xf numFmtId="0" fontId="93" fillId="0" borderId="0" xfId="46" applyFont="1" applyAlignment="1">
      <alignment horizontal="center"/>
    </xf>
    <xf numFmtId="2" fontId="93" fillId="0" borderId="0" xfId="46" applyNumberFormat="1" applyFont="1" applyAlignment="1">
      <alignment horizontal="right"/>
    </xf>
    <xf numFmtId="4" fontId="93" fillId="0" borderId="0" xfId="46" applyNumberFormat="1" applyFont="1" applyAlignment="1">
      <alignment horizontal="right"/>
    </xf>
    <xf numFmtId="0" fontId="90" fillId="0" borderId="0" xfId="46" applyFont="1" applyAlignment="1">
      <alignment horizontal="left" vertical="top"/>
    </xf>
    <xf numFmtId="0" fontId="88" fillId="0" borderId="0" xfId="27" applyFont="1" applyAlignment="1">
      <alignment horizontal="justify" vertical="top"/>
    </xf>
    <xf numFmtId="0" fontId="88" fillId="0" borderId="0" xfId="27" applyFont="1"/>
    <xf numFmtId="2" fontId="88" fillId="0" borderId="0" xfId="27" applyNumberFormat="1" applyFont="1" applyAlignment="1">
      <alignment horizontal="right" vertical="top"/>
    </xf>
    <xf numFmtId="4" fontId="88" fillId="0" borderId="0" xfId="27" applyNumberFormat="1" applyFont="1"/>
    <xf numFmtId="49" fontId="88" fillId="0" borderId="0" xfId="27" applyNumberFormat="1" applyFont="1" applyAlignment="1">
      <alignment vertical="top"/>
    </xf>
    <xf numFmtId="0" fontId="88" fillId="0" borderId="0" xfId="27" applyFont="1" applyAlignment="1">
      <alignment horizontal="justify"/>
    </xf>
    <xf numFmtId="0" fontId="88" fillId="0" borderId="0" xfId="27" applyFont="1" applyAlignment="1">
      <alignment horizontal="right"/>
    </xf>
    <xf numFmtId="0" fontId="88" fillId="0" borderId="0" xfId="27" applyFont="1" applyAlignment="1">
      <alignment horizontal="left" vertical="top" wrapText="1"/>
    </xf>
    <xf numFmtId="49" fontId="88" fillId="0" borderId="0" xfId="27" applyNumberFormat="1" applyFont="1" applyAlignment="1">
      <alignment horizontal="center" vertical="top"/>
    </xf>
    <xf numFmtId="49" fontId="88" fillId="0" borderId="0" xfId="27" applyNumberFormat="1" applyFont="1" applyAlignment="1">
      <alignment horizontal="right" vertical="top"/>
    </xf>
    <xf numFmtId="4" fontId="88" fillId="0" borderId="0" xfId="27" applyNumberFormat="1" applyFont="1" applyAlignment="1">
      <alignment horizontal="center" vertical="top"/>
    </xf>
    <xf numFmtId="0" fontId="85" fillId="0" borderId="0" xfId="46" applyFont="1" applyAlignment="1">
      <alignment vertical="top"/>
    </xf>
    <xf numFmtId="0" fontId="85" fillId="0" borderId="0" xfId="46" applyFont="1" applyAlignment="1">
      <alignment horizontal="left" vertical="top"/>
    </xf>
    <xf numFmtId="0" fontId="85" fillId="0" borderId="0" xfId="46" applyFont="1" applyAlignment="1">
      <alignment vertical="top" wrapText="1"/>
    </xf>
    <xf numFmtId="0" fontId="93" fillId="0" borderId="0" xfId="46" applyFont="1" applyAlignment="1">
      <alignment horizontal="left" vertical="top"/>
    </xf>
    <xf numFmtId="0" fontId="93" fillId="0" borderId="0" xfId="46" applyFont="1" applyAlignment="1">
      <alignment horizontal="left" vertical="top" wrapText="1"/>
    </xf>
    <xf numFmtId="4" fontId="85" fillId="0" borderId="0" xfId="46" applyNumberFormat="1" applyFont="1" applyAlignment="1">
      <alignment horizontal="justify" wrapText="1"/>
    </xf>
    <xf numFmtId="0" fontId="19" fillId="0" borderId="0" xfId="27" applyFont="1"/>
    <xf numFmtId="49" fontId="85" fillId="0" borderId="0" xfId="46" applyNumberFormat="1" applyFont="1" applyAlignment="1">
      <alignment horizontal="justify" vertical="top"/>
    </xf>
    <xf numFmtId="12" fontId="17" fillId="4" borderId="4" xfId="3" applyNumberFormat="1" applyFont="1" applyFill="1" applyBorder="1" applyAlignment="1">
      <alignment horizontal="left" vertical="top" wrapText="1"/>
    </xf>
    <xf numFmtId="12" fontId="17" fillId="4" borderId="5" xfId="3" applyNumberFormat="1" applyFont="1" applyFill="1" applyBorder="1" applyAlignment="1">
      <alignment horizontal="left" vertical="top" wrapText="1"/>
    </xf>
    <xf numFmtId="12" fontId="15" fillId="4" borderId="5" xfId="3" applyNumberFormat="1" applyFont="1" applyFill="1" applyBorder="1" applyAlignment="1">
      <alignment vertical="top" wrapText="1"/>
    </xf>
    <xf numFmtId="4" fontId="15" fillId="4" borderId="5" xfId="3" applyNumberFormat="1" applyFont="1" applyFill="1" applyBorder="1" applyAlignment="1">
      <alignment wrapText="1"/>
    </xf>
    <xf numFmtId="4" fontId="15" fillId="4" borderId="6" xfId="3" applyNumberFormat="1" applyFont="1" applyFill="1" applyBorder="1" applyAlignment="1">
      <alignment wrapText="1"/>
    </xf>
    <xf numFmtId="0" fontId="14" fillId="0" borderId="0" xfId="0" applyFont="1"/>
    <xf numFmtId="12" fontId="17" fillId="4" borderId="2" xfId="3" applyNumberFormat="1" applyFont="1" applyFill="1" applyBorder="1" applyAlignment="1">
      <alignment horizontal="left" vertical="top" wrapText="1"/>
    </xf>
    <xf numFmtId="12" fontId="17" fillId="4" borderId="1" xfId="3" applyNumberFormat="1" applyFont="1" applyFill="1" applyBorder="1" applyAlignment="1">
      <alignment horizontal="left" vertical="top" wrapText="1"/>
    </xf>
    <xf numFmtId="12" fontId="15" fillId="4" borderId="1" xfId="3" applyNumberFormat="1" applyFont="1" applyFill="1" applyBorder="1" applyAlignment="1">
      <alignment vertical="top" wrapText="1"/>
    </xf>
    <xf numFmtId="4" fontId="15" fillId="4" borderId="1" xfId="3" applyNumberFormat="1" applyFont="1" applyFill="1" applyBorder="1" applyAlignment="1">
      <alignment wrapText="1"/>
    </xf>
    <xf numFmtId="4" fontId="15" fillId="4" borderId="3" xfId="3" applyNumberFormat="1" applyFont="1" applyFill="1" applyBorder="1" applyAlignment="1">
      <alignment wrapText="1"/>
    </xf>
    <xf numFmtId="12" fontId="17" fillId="0" borderId="2" xfId="2" applyNumberFormat="1" applyFont="1" applyBorder="1" applyAlignment="1">
      <alignment horizontal="left" vertical="top" wrapText="1"/>
    </xf>
    <xf numFmtId="12" fontId="14" fillId="0" borderId="1" xfId="0" applyNumberFormat="1" applyFont="1" applyBorder="1"/>
    <xf numFmtId="12" fontId="14" fillId="0" borderId="1" xfId="2" applyNumberFormat="1" applyFont="1" applyBorder="1" applyAlignment="1">
      <alignment vertical="top" wrapText="1"/>
    </xf>
    <xf numFmtId="4" fontId="14" fillId="0" borderId="1" xfId="2" applyNumberFormat="1" applyFont="1" applyBorder="1" applyAlignment="1">
      <alignment wrapText="1"/>
    </xf>
    <xf numFmtId="4" fontId="14" fillId="0" borderId="3" xfId="2" applyNumberFormat="1" applyFont="1" applyBorder="1" applyAlignment="1">
      <alignment wrapText="1"/>
    </xf>
    <xf numFmtId="12" fontId="17" fillId="3" borderId="2" xfId="3" applyNumberFormat="1" applyFont="1" applyFill="1" applyBorder="1" applyAlignment="1">
      <alignment horizontal="left" vertical="top" wrapText="1"/>
    </xf>
    <xf numFmtId="12" fontId="17" fillId="3" borderId="1" xfId="3" applyNumberFormat="1" applyFont="1" applyFill="1" applyBorder="1" applyAlignment="1">
      <alignment vertical="top" wrapText="1"/>
    </xf>
    <xf numFmtId="12" fontId="14" fillId="3" borderId="1" xfId="2" applyNumberFormat="1" applyFont="1" applyFill="1" applyBorder="1" applyAlignment="1">
      <alignment vertical="top" wrapText="1"/>
    </xf>
    <xf numFmtId="4" fontId="14" fillId="3" borderId="1" xfId="2" applyNumberFormat="1" applyFont="1" applyFill="1" applyBorder="1" applyAlignment="1">
      <alignment wrapText="1"/>
    </xf>
    <xf numFmtId="4" fontId="14" fillId="3" borderId="3" xfId="2" applyNumberFormat="1" applyFont="1" applyFill="1" applyBorder="1" applyAlignment="1">
      <alignment wrapText="1"/>
    </xf>
    <xf numFmtId="12" fontId="17" fillId="0" borderId="1" xfId="2" applyNumberFormat="1" applyFont="1" applyBorder="1" applyAlignment="1">
      <alignment vertical="top" wrapText="1"/>
    </xf>
    <xf numFmtId="12" fontId="15" fillId="3" borderId="1" xfId="3" applyNumberFormat="1" applyFont="1" applyFill="1" applyBorder="1" applyAlignment="1">
      <alignment vertical="top" wrapText="1"/>
    </xf>
    <xf numFmtId="4" fontId="15" fillId="3" borderId="1" xfId="3" applyNumberFormat="1" applyFont="1" applyFill="1" applyBorder="1" applyAlignment="1">
      <alignment wrapText="1"/>
    </xf>
    <xf numFmtId="4" fontId="15" fillId="3" borderId="3" xfId="3" applyNumberFormat="1" applyFont="1" applyFill="1" applyBorder="1" applyAlignment="1">
      <alignment wrapText="1"/>
    </xf>
    <xf numFmtId="12" fontId="22" fillId="0" borderId="1" xfId="2" applyNumberFormat="1" applyFont="1" applyBorder="1" applyAlignment="1">
      <alignment vertical="top" wrapText="1"/>
    </xf>
    <xf numFmtId="12" fontId="22" fillId="0" borderId="2" xfId="4" applyNumberFormat="1" applyFont="1" applyBorder="1" applyAlignment="1">
      <alignment horizontal="left" vertical="top" wrapText="1"/>
    </xf>
    <xf numFmtId="12" fontId="14" fillId="0" borderId="1" xfId="4" applyNumberFormat="1" applyFont="1" applyBorder="1" applyAlignment="1">
      <alignment vertical="top" wrapText="1"/>
    </xf>
    <xf numFmtId="4" fontId="14" fillId="0" borderId="1" xfId="4" applyNumberFormat="1" applyFont="1" applyBorder="1" applyAlignment="1">
      <alignment wrapText="1"/>
    </xf>
    <xf numFmtId="4" fontId="14" fillId="0" borderId="3" xfId="4" applyNumberFormat="1" applyFont="1" applyBorder="1" applyAlignment="1">
      <alignment wrapText="1"/>
    </xf>
    <xf numFmtId="12" fontId="38" fillId="0" borderId="2" xfId="4" applyNumberFormat="1" applyFont="1" applyBorder="1" applyAlignment="1">
      <alignment horizontal="left" vertical="top" wrapText="1"/>
    </xf>
    <xf numFmtId="12" fontId="19" fillId="0" borderId="1" xfId="0" applyNumberFormat="1" applyFont="1" applyBorder="1" applyAlignment="1">
      <alignment wrapText="1"/>
    </xf>
    <xf numFmtId="12" fontId="37" fillId="0" borderId="1" xfId="4" applyNumberFormat="1" applyFont="1" applyBorder="1" applyAlignment="1">
      <alignment vertical="top" wrapText="1"/>
    </xf>
    <xf numFmtId="4" fontId="37" fillId="0" borderId="1" xfId="4" applyNumberFormat="1" applyFont="1" applyBorder="1" applyAlignment="1">
      <alignment wrapText="1"/>
    </xf>
    <xf numFmtId="4" fontId="37" fillId="0" borderId="3" xfId="4" applyNumberFormat="1" applyFont="1" applyBorder="1" applyAlignment="1">
      <alignment wrapText="1"/>
    </xf>
    <xf numFmtId="0" fontId="37" fillId="0" borderId="0" xfId="0" applyFont="1"/>
    <xf numFmtId="12" fontId="37" fillId="0" borderId="1" xfId="0" applyNumberFormat="1" applyFont="1" applyBorder="1"/>
    <xf numFmtId="188" fontId="17" fillId="0" borderId="2" xfId="3" applyNumberFormat="1" applyFont="1" applyBorder="1" applyAlignment="1">
      <alignment horizontal="left" vertical="top" wrapText="1"/>
    </xf>
    <xf numFmtId="12" fontId="17" fillId="0" borderId="1" xfId="0" applyNumberFormat="1" applyFont="1" applyBorder="1" applyAlignment="1">
      <alignment vertical="top" wrapText="1"/>
    </xf>
    <xf numFmtId="12" fontId="19" fillId="0" borderId="1" xfId="0" applyNumberFormat="1" applyFont="1" applyBorder="1" applyAlignment="1">
      <alignment vertical="top" wrapText="1"/>
    </xf>
    <xf numFmtId="12" fontId="39" fillId="0" borderId="1" xfId="0" applyNumberFormat="1" applyFont="1" applyBorder="1" applyAlignment="1">
      <alignment vertical="top" wrapText="1"/>
    </xf>
    <xf numFmtId="12" fontId="17" fillId="0" borderId="1" xfId="0" applyNumberFormat="1" applyFont="1" applyBorder="1" applyAlignment="1">
      <alignment wrapText="1"/>
    </xf>
    <xf numFmtId="0" fontId="37" fillId="0" borderId="1" xfId="0" applyFont="1" applyBorder="1"/>
    <xf numFmtId="4" fontId="37" fillId="0" borderId="1" xfId="0" applyNumberFormat="1" applyFont="1" applyBorder="1"/>
    <xf numFmtId="0" fontId="14" fillId="0" borderId="1" xfId="0" applyFont="1" applyBorder="1"/>
    <xf numFmtId="4" fontId="14" fillId="0" borderId="1" xfId="0" applyNumberFormat="1" applyFont="1" applyBorder="1"/>
    <xf numFmtId="183" fontId="35" fillId="0" borderId="2" xfId="3" applyNumberFormat="1" applyFont="1" applyBorder="1" applyAlignment="1">
      <alignment horizontal="left" vertical="top" wrapText="1"/>
    </xf>
    <xf numFmtId="12" fontId="35" fillId="0" borderId="1" xfId="0" applyNumberFormat="1" applyFont="1" applyBorder="1" applyAlignment="1">
      <alignment vertical="top" wrapText="1"/>
    </xf>
    <xf numFmtId="12" fontId="15" fillId="0" borderId="1" xfId="0" applyNumberFormat="1" applyFont="1" applyBorder="1"/>
    <xf numFmtId="12" fontId="19" fillId="0" borderId="1" xfId="0" applyNumberFormat="1" applyFont="1" applyBorder="1"/>
    <xf numFmtId="0" fontId="100" fillId="0" borderId="0" xfId="0" applyFont="1" applyAlignment="1">
      <alignment wrapText="1"/>
    </xf>
    <xf numFmtId="0" fontId="100" fillId="0" borderId="0" xfId="0" applyFont="1"/>
    <xf numFmtId="2" fontId="85" fillId="0" borderId="0" xfId="0" applyNumberFormat="1" applyFont="1" applyAlignment="1">
      <alignment horizontal="justify" vertical="top"/>
    </xf>
    <xf numFmtId="49" fontId="84" fillId="0" borderId="2" xfId="0" applyNumberFormat="1" applyFont="1" applyBorder="1" applyAlignment="1">
      <alignment horizontal="center" vertical="top" wrapText="1"/>
    </xf>
    <xf numFmtId="2" fontId="14" fillId="0" borderId="1" xfId="0" applyNumberFormat="1" applyFont="1" applyBorder="1" applyAlignment="1">
      <alignment horizontal="justify" vertical="top"/>
    </xf>
    <xf numFmtId="187" fontId="85" fillId="0" borderId="2" xfId="0" applyNumberFormat="1" applyFont="1" applyBorder="1" applyAlignment="1">
      <alignment horizontal="justify" vertical="top"/>
    </xf>
    <xf numFmtId="2" fontId="14" fillId="0" borderId="1" xfId="0" applyNumberFormat="1" applyFont="1" applyBorder="1" applyAlignment="1">
      <alignment horizontal="left"/>
    </xf>
    <xf numFmtId="2" fontId="49" fillId="0" borderId="1" xfId="0" applyNumberFormat="1" applyFont="1" applyBorder="1" applyAlignment="1">
      <alignment horizontal="justify" vertical="top"/>
    </xf>
    <xf numFmtId="4" fontId="49" fillId="0" borderId="1" xfId="0" quotePrefix="1" applyNumberFormat="1" applyFont="1" applyBorder="1" applyAlignment="1">
      <alignment horizontal="left"/>
    </xf>
    <xf numFmtId="4" fontId="85" fillId="0" borderId="1" xfId="0" quotePrefix="1" applyNumberFormat="1" applyFont="1" applyBorder="1" applyAlignment="1">
      <alignment horizontal="left"/>
    </xf>
    <xf numFmtId="2" fontId="85" fillId="0" borderId="1" xfId="0" applyNumberFormat="1" applyFont="1" applyBorder="1" applyAlignment="1">
      <alignment horizontal="justify" vertical="top"/>
    </xf>
    <xf numFmtId="2" fontId="86" fillId="0" borderId="0" xfId="0" applyNumberFormat="1" applyFont="1" applyAlignment="1">
      <alignment horizontal="justify" vertical="top"/>
    </xf>
    <xf numFmtId="4" fontId="49" fillId="0" borderId="1" xfId="0" applyNumberFormat="1" applyFont="1" applyBorder="1" applyAlignment="1">
      <alignment vertical="top" wrapText="1"/>
    </xf>
    <xf numFmtId="0" fontId="14" fillId="0" borderId="2" xfId="0" applyFont="1" applyBorder="1"/>
    <xf numFmtId="0" fontId="19" fillId="0" borderId="1" xfId="0" applyFont="1" applyBorder="1" applyAlignment="1">
      <alignment vertical="top" wrapText="1"/>
    </xf>
    <xf numFmtId="4" fontId="14" fillId="0" borderId="3" xfId="0" applyNumberFormat="1" applyFont="1" applyBorder="1"/>
    <xf numFmtId="4" fontId="14" fillId="0" borderId="0" xfId="0" applyNumberFormat="1" applyFont="1"/>
    <xf numFmtId="12" fontId="15" fillId="0" borderId="1" xfId="0" applyNumberFormat="1" applyFont="1" applyBorder="1" applyAlignment="1">
      <alignment wrapText="1"/>
    </xf>
    <xf numFmtId="12" fontId="15" fillId="3" borderId="1" xfId="2" applyNumberFormat="1" applyFont="1" applyFill="1" applyBorder="1" applyAlignment="1">
      <alignment vertical="top" wrapText="1"/>
    </xf>
    <xf numFmtId="4" fontId="15" fillId="3" borderId="1" xfId="2" applyNumberFormat="1" applyFont="1" applyFill="1" applyBorder="1" applyAlignment="1">
      <alignment wrapText="1"/>
    </xf>
    <xf numFmtId="4" fontId="15" fillId="3" borderId="3" xfId="4" applyNumberFormat="1" applyFont="1" applyFill="1" applyBorder="1" applyAlignment="1">
      <alignment wrapText="1"/>
    </xf>
    <xf numFmtId="0" fontId="37" fillId="0" borderId="2" xfId="0" applyFont="1" applyBorder="1"/>
    <xf numFmtId="4" fontId="37" fillId="0" borderId="3" xfId="0" applyNumberFormat="1" applyFont="1" applyBorder="1"/>
    <xf numFmtId="0" fontId="13" fillId="0" borderId="0" xfId="0" applyFont="1"/>
    <xf numFmtId="4" fontId="15" fillId="4" borderId="5" xfId="3" applyNumberFormat="1" applyFont="1" applyFill="1" applyBorder="1" applyAlignment="1" applyProtection="1">
      <alignment wrapText="1"/>
      <protection locked="0"/>
    </xf>
    <xf numFmtId="4" fontId="15" fillId="4" borderId="1" xfId="3" applyNumberFormat="1" applyFont="1" applyFill="1" applyBorder="1" applyAlignment="1" applyProtection="1">
      <alignment wrapText="1"/>
      <protection locked="0"/>
    </xf>
    <xf numFmtId="4" fontId="14" fillId="3" borderId="1" xfId="2" applyNumberFormat="1" applyFont="1" applyFill="1" applyBorder="1" applyAlignment="1" applyProtection="1">
      <alignment wrapText="1"/>
      <protection locked="0"/>
    </xf>
    <xf numFmtId="4" fontId="15" fillId="3" borderId="1" xfId="3" applyNumberFormat="1" applyFont="1" applyFill="1" applyBorder="1" applyAlignment="1" applyProtection="1">
      <alignment wrapText="1"/>
      <protection locked="0"/>
    </xf>
    <xf numFmtId="4" fontId="15" fillId="3" borderId="1" xfId="2" applyNumberFormat="1" applyFont="1" applyFill="1" applyBorder="1" applyAlignment="1" applyProtection="1">
      <alignment wrapText="1"/>
      <protection locked="0"/>
    </xf>
    <xf numFmtId="4" fontId="37" fillId="0" borderId="1" xfId="0" applyNumberFormat="1" applyFont="1" applyBorder="1" applyProtection="1">
      <protection locked="0"/>
    </xf>
    <xf numFmtId="4" fontId="14" fillId="3" borderId="3" xfId="4" applyNumberFormat="1" applyFont="1" applyFill="1" applyBorder="1" applyAlignment="1">
      <alignment wrapText="1"/>
    </xf>
    <xf numFmtId="4" fontId="15" fillId="0" borderId="0" xfId="0" applyNumberFormat="1" applyFont="1" applyAlignment="1">
      <alignment wrapText="1"/>
    </xf>
    <xf numFmtId="170" fontId="15" fillId="0" borderId="2" xfId="4" applyNumberFormat="1" applyFont="1" applyBorder="1" applyAlignment="1">
      <alignment horizontal="left" vertical="top" wrapText="1"/>
    </xf>
    <xf numFmtId="4" fontId="14" fillId="0" borderId="1" xfId="4" applyNumberFormat="1" applyFont="1" applyBorder="1" applyAlignment="1">
      <alignment vertical="top" wrapText="1"/>
    </xf>
    <xf numFmtId="171" fontId="17" fillId="0" borderId="2" xfId="3" applyNumberFormat="1" applyFont="1" applyBorder="1" applyAlignment="1">
      <alignment horizontal="left" vertical="top" wrapText="1"/>
    </xf>
    <xf numFmtId="4" fontId="15" fillId="0" borderId="1" xfId="4" applyNumberFormat="1" applyFont="1" applyBorder="1" applyAlignment="1">
      <alignment vertical="top" wrapText="1"/>
    </xf>
    <xf numFmtId="4" fontId="37" fillId="0" borderId="0" xfId="0" applyNumberFormat="1" applyFont="1"/>
    <xf numFmtId="4" fontId="36" fillId="0" borderId="2" xfId="4" applyNumberFormat="1" applyFont="1" applyBorder="1" applyAlignment="1">
      <alignment horizontal="left" vertical="top" wrapText="1"/>
    </xf>
    <xf numFmtId="4" fontId="19" fillId="0" borderId="1" xfId="4" applyNumberFormat="1" applyFont="1" applyBorder="1" applyAlignment="1">
      <alignment vertical="top" wrapText="1"/>
    </xf>
    <xf numFmtId="4" fontId="15" fillId="0" borderId="2" xfId="4" applyNumberFormat="1" applyFont="1" applyBorder="1" applyAlignment="1">
      <alignment horizontal="left" vertical="top" wrapText="1"/>
    </xf>
    <xf numFmtId="4" fontId="37" fillId="0" borderId="1" xfId="4" applyNumberFormat="1" applyFont="1" applyBorder="1" applyAlignment="1">
      <alignment vertical="top" wrapText="1"/>
    </xf>
    <xf numFmtId="4" fontId="100" fillId="0" borderId="0" xfId="0" applyNumberFormat="1" applyFont="1"/>
    <xf numFmtId="4" fontId="14" fillId="0" borderId="2" xfId="4" applyNumberFormat="1" applyFont="1" applyBorder="1" applyAlignment="1">
      <alignment horizontal="left" vertical="top" wrapText="1"/>
    </xf>
    <xf numFmtId="49" fontId="19" fillId="0" borderId="1" xfId="4" applyNumberFormat="1" applyFont="1" applyBorder="1" applyAlignment="1">
      <alignment vertical="top" wrapText="1"/>
    </xf>
    <xf numFmtId="4" fontId="15" fillId="0" borderId="2" xfId="2" applyNumberFormat="1" applyFont="1" applyBorder="1" applyAlignment="1">
      <alignment horizontal="left" vertical="top" wrapText="1"/>
    </xf>
    <xf numFmtId="4" fontId="14" fillId="0" borderId="1" xfId="2" applyNumberFormat="1" applyFont="1" applyBorder="1" applyAlignment="1">
      <alignment vertical="top" wrapText="1"/>
    </xf>
    <xf numFmtId="12" fontId="17" fillId="3" borderId="1" xfId="2" applyNumberFormat="1" applyFont="1" applyFill="1" applyBorder="1" applyAlignment="1">
      <alignment vertical="top" wrapText="1"/>
    </xf>
    <xf numFmtId="12" fontId="36" fillId="3" borderId="1" xfId="2" applyNumberFormat="1" applyFont="1" applyFill="1" applyBorder="1" applyAlignment="1">
      <alignment vertical="top" wrapText="1"/>
    </xf>
    <xf numFmtId="4" fontId="36" fillId="3" borderId="1" xfId="2" applyNumberFormat="1" applyFont="1" applyFill="1" applyBorder="1" applyAlignment="1">
      <alignment wrapText="1"/>
    </xf>
    <xf numFmtId="4" fontId="36" fillId="3" borderId="3" xfId="2" applyNumberFormat="1" applyFont="1" applyFill="1" applyBorder="1" applyAlignment="1">
      <alignment wrapText="1"/>
    </xf>
    <xf numFmtId="170" fontId="17" fillId="0" borderId="2" xfId="3" applyNumberFormat="1" applyFont="1" applyBorder="1" applyAlignment="1">
      <alignment horizontal="left" vertical="top" wrapText="1"/>
    </xf>
    <xf numFmtId="2" fontId="15" fillId="0" borderId="1" xfId="0" applyNumberFormat="1" applyFont="1" applyBorder="1" applyAlignment="1">
      <alignment horizontal="justify" vertical="top"/>
    </xf>
    <xf numFmtId="2" fontId="85" fillId="0" borderId="1" xfId="0" applyNumberFormat="1" applyFont="1" applyBorder="1" applyAlignment="1">
      <alignment horizontal="left"/>
    </xf>
    <xf numFmtId="4" fontId="85" fillId="0" borderId="1" xfId="0" applyNumberFormat="1" applyFont="1" applyBorder="1"/>
    <xf numFmtId="4" fontId="85" fillId="0" borderId="3" xfId="0" applyNumberFormat="1" applyFont="1" applyBorder="1"/>
    <xf numFmtId="49" fontId="21" fillId="0" borderId="2" xfId="0" applyNumberFormat="1" applyFont="1" applyBorder="1" applyAlignment="1">
      <alignment horizontal="center" vertical="top" wrapText="1"/>
    </xf>
    <xf numFmtId="2" fontId="49" fillId="0" borderId="1" xfId="0" applyNumberFormat="1" applyFont="1" applyBorder="1" applyAlignment="1">
      <alignment horizontal="left"/>
    </xf>
    <xf numFmtId="4" fontId="49" fillId="0" borderId="1" xfId="0" applyNumberFormat="1" applyFont="1" applyBorder="1"/>
    <xf numFmtId="4" fontId="49" fillId="0" borderId="3" xfId="0" applyNumberFormat="1" applyFont="1" applyBorder="1"/>
    <xf numFmtId="2" fontId="49" fillId="0" borderId="0" xfId="0" applyNumberFormat="1" applyFont="1" applyAlignment="1">
      <alignment horizontal="justify" vertical="top"/>
    </xf>
    <xf numFmtId="2" fontId="24" fillId="0" borderId="0" xfId="0" applyNumberFormat="1" applyFont="1" applyAlignment="1">
      <alignment horizontal="justify" vertical="top"/>
    </xf>
    <xf numFmtId="2" fontId="102" fillId="0" borderId="0" xfId="0" applyNumberFormat="1" applyFont="1" applyAlignment="1">
      <alignment horizontal="justify" vertical="top"/>
    </xf>
    <xf numFmtId="2" fontId="49" fillId="0" borderId="1" xfId="0" applyNumberFormat="1" applyFont="1" applyBorder="1" applyAlignment="1">
      <alignment horizontal="justify" vertical="top" wrapText="1"/>
    </xf>
    <xf numFmtId="0" fontId="15" fillId="0" borderId="1" xfId="0" applyFont="1" applyBorder="1"/>
    <xf numFmtId="0" fontId="15" fillId="0" borderId="2" xfId="0" applyFont="1" applyBorder="1" applyAlignment="1">
      <alignment horizontal="right" vertical="top"/>
    </xf>
    <xf numFmtId="4" fontId="14" fillId="0" borderId="1" xfId="4" applyNumberFormat="1" applyFont="1" applyBorder="1" applyAlignment="1">
      <alignment horizontal="left" wrapText="1"/>
    </xf>
    <xf numFmtId="4" fontId="15" fillId="3" borderId="3" xfId="2" applyNumberFormat="1" applyFont="1" applyFill="1" applyBorder="1" applyAlignment="1">
      <alignment wrapText="1"/>
    </xf>
    <xf numFmtId="4" fontId="14" fillId="0" borderId="3" xfId="0" applyNumberFormat="1" applyFont="1" applyBorder="1" applyAlignment="1">
      <alignment wrapText="1"/>
    </xf>
    <xf numFmtId="193" fontId="17" fillId="0" borderId="2" xfId="3" applyNumberFormat="1" applyFont="1" applyBorder="1" applyAlignment="1">
      <alignment horizontal="left" vertical="top" wrapText="1"/>
    </xf>
    <xf numFmtId="0" fontId="15" fillId="0" borderId="1" xfId="0" applyFont="1" applyBorder="1" applyAlignment="1">
      <alignment wrapText="1"/>
    </xf>
    <xf numFmtId="4" fontId="14" fillId="0" borderId="1" xfId="17" applyNumberFormat="1" applyFont="1" applyBorder="1" applyAlignment="1">
      <alignment wrapText="1"/>
    </xf>
    <xf numFmtId="189" fontId="84" fillId="0" borderId="2" xfId="0" applyNumberFormat="1" applyFont="1" applyBorder="1" applyAlignment="1">
      <alignment horizontal="center" vertical="top" wrapText="1"/>
    </xf>
    <xf numFmtId="190" fontId="84" fillId="0" borderId="2" xfId="0" applyNumberFormat="1" applyFont="1" applyBorder="1" applyAlignment="1">
      <alignment horizontal="center" vertical="top" wrapText="1"/>
    </xf>
    <xf numFmtId="2" fontId="85" fillId="0" borderId="2" xfId="0" applyNumberFormat="1" applyFont="1" applyBorder="1" applyAlignment="1">
      <alignment horizontal="justify" vertical="top"/>
    </xf>
    <xf numFmtId="0" fontId="85" fillId="0" borderId="0" xfId="0" applyFont="1"/>
    <xf numFmtId="0" fontId="99" fillId="0" borderId="0" xfId="0" applyFont="1"/>
    <xf numFmtId="0" fontId="85" fillId="10" borderId="0" xfId="0" applyFont="1" applyFill="1"/>
    <xf numFmtId="4" fontId="85" fillId="0" borderId="0" xfId="0" applyNumberFormat="1" applyFont="1"/>
    <xf numFmtId="4" fontId="88" fillId="0" borderId="2" xfId="0" applyNumberFormat="1" applyFont="1" applyBorder="1" applyAlignment="1">
      <alignment horizontal="right" wrapText="1"/>
    </xf>
    <xf numFmtId="0" fontId="88" fillId="0" borderId="0" xfId="0" applyFont="1"/>
    <xf numFmtId="4" fontId="88" fillId="0" borderId="1" xfId="0" applyNumberFormat="1" applyFont="1" applyBorder="1" applyAlignment="1">
      <alignment horizontal="right" wrapText="1"/>
    </xf>
    <xf numFmtId="4" fontId="88" fillId="0" borderId="1" xfId="0" applyNumberFormat="1" applyFont="1" applyBorder="1" applyAlignment="1">
      <alignment wrapText="1"/>
    </xf>
    <xf numFmtId="4" fontId="20" fillId="0" borderId="1" xfId="2" applyNumberFormat="1" applyFont="1" applyBorder="1" applyAlignment="1">
      <alignment vertical="top" wrapText="1"/>
    </xf>
    <xf numFmtId="4" fontId="19" fillId="0" borderId="1" xfId="2" applyNumberFormat="1" applyFont="1" applyBorder="1" applyAlignment="1">
      <alignment vertical="top" wrapText="1"/>
    </xf>
    <xf numFmtId="194" fontId="17" fillId="0" borderId="2" xfId="3" applyNumberFormat="1" applyFont="1" applyBorder="1" applyAlignment="1">
      <alignment horizontal="left" vertical="top" wrapText="1"/>
    </xf>
    <xf numFmtId="169" fontId="17" fillId="0" borderId="2" xfId="3" applyNumberFormat="1" applyFont="1" applyBorder="1" applyAlignment="1">
      <alignment horizontal="left" vertical="top" wrapText="1"/>
    </xf>
    <xf numFmtId="0" fontId="88" fillId="0" borderId="1" xfId="0" applyFont="1" applyBorder="1" applyAlignment="1">
      <alignment wrapText="1"/>
    </xf>
    <xf numFmtId="4" fontId="88" fillId="0" borderId="3" xfId="0" applyNumberFormat="1" applyFont="1" applyBorder="1" applyAlignment="1">
      <alignment wrapText="1"/>
    </xf>
    <xf numFmtId="2" fontId="0" fillId="0" borderId="0" xfId="0" applyNumberFormat="1" applyAlignment="1">
      <alignment horizontal="justify" vertical="top"/>
    </xf>
    <xf numFmtId="192" fontId="21" fillId="0" borderId="2" xfId="0" applyNumberFormat="1" applyFont="1" applyBorder="1" applyAlignment="1">
      <alignment horizontal="center" vertical="top" wrapText="1"/>
    </xf>
    <xf numFmtId="12" fontId="14" fillId="0" borderId="1" xfId="0" applyNumberFormat="1" applyFont="1" applyBorder="1" applyAlignment="1">
      <alignment horizontal="left" wrapText="1"/>
    </xf>
    <xf numFmtId="4" fontId="14" fillId="0" borderId="1" xfId="0" applyNumberFormat="1" applyFont="1" applyBorder="1" applyAlignment="1">
      <alignment wrapText="1"/>
    </xf>
    <xf numFmtId="0" fontId="21" fillId="0" borderId="2" xfId="0" applyFont="1" applyBorder="1" applyAlignment="1">
      <alignment horizontal="center" vertical="top" wrapText="1"/>
    </xf>
    <xf numFmtId="0" fontId="88" fillId="0" borderId="1" xfId="0" applyFont="1" applyBorder="1" applyAlignment="1">
      <alignment horizontal="left" vertical="center" wrapText="1"/>
    </xf>
    <xf numFmtId="168" fontId="17" fillId="0" borderId="2" xfId="3" applyNumberFormat="1" applyFont="1" applyBorder="1" applyAlignment="1">
      <alignment horizontal="left" vertical="top" wrapText="1"/>
    </xf>
    <xf numFmtId="0" fontId="98" fillId="0" borderId="0" xfId="0" applyFont="1"/>
    <xf numFmtId="167" fontId="17" fillId="0" borderId="2" xfId="3" applyNumberFormat="1" applyFont="1" applyBorder="1" applyAlignment="1">
      <alignment horizontal="left" vertical="top" wrapText="1"/>
    </xf>
    <xf numFmtId="4" fontId="100" fillId="0" borderId="0" xfId="0" applyNumberFormat="1" applyFont="1" applyAlignment="1">
      <alignment horizontal="left"/>
    </xf>
    <xf numFmtId="4" fontId="100" fillId="0" borderId="0" xfId="0" applyNumberFormat="1" applyFont="1" applyAlignment="1">
      <alignment wrapText="1"/>
    </xf>
    <xf numFmtId="0" fontId="19" fillId="0" borderId="1" xfId="0" applyFont="1" applyBorder="1" applyAlignment="1">
      <alignment wrapText="1"/>
    </xf>
    <xf numFmtId="0" fontId="19" fillId="0" borderId="1" xfId="0" applyFont="1" applyBorder="1"/>
    <xf numFmtId="4" fontId="14" fillId="0" borderId="1" xfId="4" applyNumberFormat="1" applyFont="1" applyBorder="1" applyAlignment="1">
      <alignment horizontal="right" wrapText="1"/>
    </xf>
    <xf numFmtId="4" fontId="15" fillId="0" borderId="1" xfId="0" applyNumberFormat="1" applyFont="1" applyBorder="1"/>
    <xf numFmtId="0" fontId="21" fillId="0" borderId="1" xfId="0" applyFont="1" applyBorder="1" applyAlignment="1">
      <alignment wrapText="1"/>
    </xf>
    <xf numFmtId="168" fontId="35" fillId="0" borderId="2" xfId="3" applyNumberFormat="1" applyFont="1" applyBorder="1" applyAlignment="1">
      <alignment horizontal="left" vertical="top" wrapText="1"/>
    </xf>
    <xf numFmtId="4" fontId="39" fillId="0" borderId="1" xfId="4" applyNumberFormat="1" applyFont="1" applyBorder="1" applyAlignment="1">
      <alignment vertical="top" wrapText="1"/>
    </xf>
    <xf numFmtId="4" fontId="37" fillId="0" borderId="1" xfId="2" applyNumberFormat="1" applyFont="1" applyBorder="1" applyAlignment="1">
      <alignment vertical="top" wrapText="1"/>
    </xf>
    <xf numFmtId="4" fontId="103" fillId="0" borderId="0" xfId="0" applyNumberFormat="1" applyFont="1"/>
    <xf numFmtId="0" fontId="52" fillId="0" borderId="2" xfId="2" applyFont="1" applyBorder="1" applyAlignment="1">
      <alignment vertical="top" wrapText="1"/>
    </xf>
    <xf numFmtId="4" fontId="20" fillId="0" borderId="1" xfId="2" applyNumberFormat="1" applyFont="1" applyBorder="1" applyAlignment="1">
      <alignment wrapText="1"/>
    </xf>
    <xf numFmtId="4" fontId="20" fillId="0" borderId="1" xfId="3" applyNumberFormat="1" applyFont="1" applyBorder="1" applyAlignment="1">
      <alignment vertical="top" wrapText="1"/>
    </xf>
    <xf numFmtId="12" fontId="20" fillId="0" borderId="1" xfId="2" applyNumberFormat="1" applyFont="1" applyBorder="1" applyAlignment="1">
      <alignment vertical="top" wrapText="1"/>
    </xf>
    <xf numFmtId="0" fontId="36" fillId="0" borderId="1" xfId="0" applyFont="1" applyBorder="1"/>
    <xf numFmtId="4" fontId="20" fillId="0" borderId="1" xfId="14" applyNumberFormat="1" applyFont="1" applyBorder="1" applyAlignment="1">
      <alignment horizontal="justify" vertical="top" wrapText="1"/>
    </xf>
    <xf numFmtId="49" fontId="20" fillId="0" borderId="1" xfId="13" applyNumberFormat="1" applyFont="1" applyBorder="1" applyAlignment="1">
      <alignment horizontal="justify" vertical="top" wrapText="1"/>
    </xf>
    <xf numFmtId="0" fontId="19" fillId="0" borderId="2" xfId="0" applyFont="1" applyBorder="1" applyAlignment="1">
      <alignment horizontal="right" vertical="top"/>
    </xf>
    <xf numFmtId="49" fontId="20" fillId="0" borderId="1" xfId="12" quotePrefix="1" applyNumberFormat="1" applyFont="1" applyBorder="1" applyAlignment="1">
      <alignment horizontal="left" vertical="top" wrapText="1"/>
    </xf>
    <xf numFmtId="4" fontId="19" fillId="0" borderId="1" xfId="0" applyNumberFormat="1" applyFont="1" applyBorder="1" applyAlignment="1">
      <alignment vertical="top" wrapText="1"/>
    </xf>
    <xf numFmtId="49" fontId="20" fillId="0" borderId="1" xfId="10" applyNumberFormat="1" applyFont="1" applyBorder="1" applyAlignment="1">
      <alignment horizontal="justify" vertical="top" wrapText="1"/>
    </xf>
    <xf numFmtId="49" fontId="20" fillId="0" borderId="1" xfId="10" quotePrefix="1" applyNumberFormat="1" applyFont="1" applyBorder="1" applyAlignment="1">
      <alignment horizontal="justify" vertical="top" wrapText="1"/>
    </xf>
    <xf numFmtId="0" fontId="14" fillId="0" borderId="2" xfId="0" applyFont="1" applyBorder="1" applyAlignment="1">
      <alignment horizontal="right" vertical="top"/>
    </xf>
    <xf numFmtId="0" fontId="15" fillId="0" borderId="1" xfId="0" applyFont="1" applyBorder="1" applyAlignment="1">
      <alignment vertical="top" wrapText="1"/>
    </xf>
    <xf numFmtId="0" fontId="20" fillId="0" borderId="1" xfId="0" applyFont="1" applyBorder="1" applyAlignment="1">
      <alignment horizontal="left" vertical="center" wrapText="1"/>
    </xf>
    <xf numFmtId="0" fontId="19" fillId="0" borderId="1" xfId="43" applyFont="1" applyBorder="1" applyAlignment="1">
      <alignment horizontal="center" wrapText="1"/>
    </xf>
    <xf numFmtId="4" fontId="19" fillId="0" borderId="1" xfId="43" applyNumberFormat="1" applyFont="1" applyBorder="1" applyAlignment="1">
      <alignment wrapText="1"/>
    </xf>
    <xf numFmtId="0" fontId="61" fillId="0" borderId="0" xfId="0" applyFont="1"/>
    <xf numFmtId="0" fontId="20" fillId="0" borderId="1" xfId="0" applyFont="1" applyBorder="1" applyAlignment="1">
      <alignment horizontal="left" vertical="top" wrapText="1"/>
    </xf>
    <xf numFmtId="4" fontId="104" fillId="0" borderId="0" xfId="0" applyNumberFormat="1" applyFont="1"/>
    <xf numFmtId="12" fontId="17" fillId="0" borderId="2" xfId="3" applyNumberFormat="1" applyFont="1" applyBorder="1" applyAlignment="1">
      <alignment horizontal="left" vertical="top" wrapText="1"/>
    </xf>
    <xf numFmtId="4" fontId="17" fillId="0" borderId="1" xfId="2" applyNumberFormat="1" applyFont="1" applyBorder="1" applyAlignment="1">
      <alignment wrapText="1"/>
    </xf>
    <xf numFmtId="4" fontId="17" fillId="0" borderId="3" xfId="2" applyNumberFormat="1" applyFont="1" applyBorder="1" applyAlignment="1">
      <alignment wrapText="1"/>
    </xf>
    <xf numFmtId="12" fontId="35" fillId="3" borderId="1" xfId="2" applyNumberFormat="1" applyFont="1" applyFill="1" applyBorder="1" applyAlignment="1">
      <alignment vertical="top" wrapText="1"/>
    </xf>
    <xf numFmtId="4" fontId="35" fillId="3" borderId="3" xfId="2" applyNumberFormat="1" applyFont="1" applyFill="1" applyBorder="1" applyAlignment="1">
      <alignment wrapText="1"/>
    </xf>
    <xf numFmtId="166" fontId="17" fillId="0" borderId="2" xfId="3" applyNumberFormat="1" applyFont="1" applyBorder="1" applyAlignment="1">
      <alignment horizontal="left" vertical="top" wrapText="1"/>
    </xf>
    <xf numFmtId="0" fontId="20" fillId="0" borderId="1" xfId="5" quotePrefix="1" applyFont="1" applyBorder="1" applyAlignment="1">
      <alignment horizontal="left" vertical="top" wrapText="1"/>
    </xf>
    <xf numFmtId="0" fontId="20" fillId="0" borderId="1" xfId="5" applyFont="1" applyBorder="1" applyAlignment="1">
      <alignment horizontal="left" vertical="top" wrapText="1"/>
    </xf>
    <xf numFmtId="0" fontId="17" fillId="0" borderId="2" xfId="6" applyFont="1" applyBorder="1" applyAlignment="1">
      <alignment horizontal="center" vertical="top" wrapText="1"/>
    </xf>
    <xf numFmtId="0" fontId="38" fillId="0" borderId="1" xfId="6" quotePrefix="1" applyFont="1" applyBorder="1" applyAlignment="1">
      <alignment horizontal="left" vertical="top" wrapText="1"/>
    </xf>
    <xf numFmtId="0" fontId="38" fillId="0" borderId="1" xfId="5" applyFont="1" applyBorder="1" applyAlignment="1">
      <alignment horizontal="center"/>
    </xf>
    <xf numFmtId="4" fontId="38" fillId="0" borderId="1" xfId="5" applyNumberFormat="1" applyFont="1" applyBorder="1"/>
    <xf numFmtId="0" fontId="17" fillId="0" borderId="1" xfId="6" quotePrefix="1" applyFont="1" applyBorder="1" applyAlignment="1">
      <alignment horizontal="left" vertical="top" wrapText="1"/>
    </xf>
    <xf numFmtId="0" fontId="20" fillId="0" borderId="1" xfId="6" quotePrefix="1" applyFont="1" applyBorder="1" applyAlignment="1">
      <alignment horizontal="left" vertical="top" wrapText="1"/>
    </xf>
    <xf numFmtId="0" fontId="35" fillId="0" borderId="2" xfId="6" applyFont="1" applyBorder="1" applyAlignment="1">
      <alignment horizontal="center" vertical="top" wrapText="1"/>
    </xf>
    <xf numFmtId="0" fontId="22" fillId="0" borderId="1" xfId="5" applyFont="1" applyBorder="1" applyAlignment="1">
      <alignment horizontal="center"/>
    </xf>
    <xf numFmtId="4" fontId="22" fillId="0" borderId="1" xfId="5" applyNumberFormat="1" applyFont="1" applyBorder="1"/>
    <xf numFmtId="0" fontId="85" fillId="0" borderId="1" xfId="0" applyFont="1" applyBorder="1" applyAlignment="1">
      <alignment horizontal="justify" wrapText="1"/>
    </xf>
    <xf numFmtId="191" fontId="90" fillId="0" borderId="2" xfId="0" applyNumberFormat="1" applyFont="1" applyBorder="1" applyAlignment="1">
      <alignment horizontal="center" vertical="top" wrapText="1"/>
    </xf>
    <xf numFmtId="0" fontId="85" fillId="0" borderId="1" xfId="0" applyFont="1" applyBorder="1" applyAlignment="1">
      <alignment horizontal="justify" vertical="top" wrapText="1"/>
    </xf>
    <xf numFmtId="4" fontId="17" fillId="3" borderId="1" xfId="2" applyNumberFormat="1" applyFont="1" applyFill="1" applyBorder="1" applyAlignment="1">
      <alignment wrapText="1"/>
    </xf>
    <xf numFmtId="4" fontId="17" fillId="3" borderId="3" xfId="2" applyNumberFormat="1" applyFont="1" applyFill="1" applyBorder="1" applyAlignment="1">
      <alignment wrapText="1"/>
    </xf>
    <xf numFmtId="4" fontId="15" fillId="0" borderId="2" xfId="3" applyNumberFormat="1" applyFont="1" applyBorder="1" applyAlignment="1">
      <alignment horizontal="left" vertical="top" wrapText="1"/>
    </xf>
    <xf numFmtId="4" fontId="15" fillId="0" borderId="1" xfId="2" applyNumberFormat="1" applyFont="1" applyBorder="1" applyAlignment="1">
      <alignment vertical="top" wrapText="1"/>
    </xf>
    <xf numFmtId="4" fontId="15" fillId="0" borderId="1" xfId="2" applyNumberFormat="1" applyFont="1" applyBorder="1" applyAlignment="1">
      <alignment wrapText="1"/>
    </xf>
    <xf numFmtId="4" fontId="15" fillId="0" borderId="3" xfId="2" applyNumberFormat="1" applyFont="1" applyBorder="1" applyAlignment="1">
      <alignment wrapText="1"/>
    </xf>
    <xf numFmtId="4" fontId="14" fillId="0" borderId="2" xfId="2" applyNumberFormat="1" applyFont="1" applyBorder="1" applyAlignment="1">
      <alignment vertical="top" wrapText="1"/>
    </xf>
    <xf numFmtId="4" fontId="21" fillId="0" borderId="2" xfId="2" applyNumberFormat="1" applyFont="1" applyBorder="1" applyAlignment="1">
      <alignment horizontal="right" vertical="top" wrapText="1"/>
    </xf>
    <xf numFmtId="186" fontId="15" fillId="0" borderId="2" xfId="3" applyNumberFormat="1" applyFont="1" applyBorder="1" applyAlignment="1">
      <alignment horizontal="left" vertical="top" wrapText="1"/>
    </xf>
    <xf numFmtId="186" fontId="17" fillId="0" borderId="2" xfId="3" applyNumberFormat="1" applyFont="1" applyBorder="1" applyAlignment="1">
      <alignment horizontal="left" vertical="top" wrapText="1"/>
    </xf>
    <xf numFmtId="4" fontId="53" fillId="0" borderId="1" xfId="4" applyNumberFormat="1" applyFont="1" applyBorder="1" applyAlignment="1">
      <alignment vertical="top" wrapText="1"/>
    </xf>
    <xf numFmtId="0" fontId="36" fillId="0" borderId="1" xfId="0" applyFont="1" applyBorder="1" applyAlignment="1">
      <alignment wrapText="1"/>
    </xf>
    <xf numFmtId="4" fontId="39" fillId="0" borderId="1" xfId="2" applyNumberFormat="1" applyFont="1" applyBorder="1" applyAlignment="1">
      <alignment vertical="top" wrapText="1"/>
    </xf>
    <xf numFmtId="12" fontId="73" fillId="3" borderId="2" xfId="3" applyNumberFormat="1" applyFont="1" applyFill="1" applyBorder="1" applyAlignment="1">
      <alignment horizontal="left" vertical="top" wrapText="1"/>
    </xf>
    <xf numFmtId="4" fontId="36" fillId="0" borderId="2" xfId="3" applyNumberFormat="1" applyFont="1" applyBorder="1" applyAlignment="1">
      <alignment horizontal="left" vertical="top" wrapText="1"/>
    </xf>
    <xf numFmtId="4" fontId="36" fillId="0" borderId="1" xfId="2" applyNumberFormat="1" applyFont="1" applyBorder="1" applyAlignment="1">
      <alignment vertical="top" wrapText="1"/>
    </xf>
    <xf numFmtId="4" fontId="36" fillId="0" borderId="1" xfId="2" applyNumberFormat="1" applyFont="1" applyBorder="1" applyAlignment="1">
      <alignment wrapText="1"/>
    </xf>
    <xf numFmtId="4" fontId="36" fillId="0" borderId="3" xfId="2" applyNumberFormat="1" applyFont="1" applyBorder="1" applyAlignment="1">
      <alignment wrapText="1"/>
    </xf>
    <xf numFmtId="12" fontId="73" fillId="3" borderId="1" xfId="2" applyNumberFormat="1" applyFont="1" applyFill="1" applyBorder="1" applyAlignment="1">
      <alignment vertical="top" wrapText="1"/>
    </xf>
    <xf numFmtId="4" fontId="28" fillId="3" borderId="1" xfId="2" applyNumberFormat="1" applyFont="1" applyFill="1" applyBorder="1" applyAlignment="1">
      <alignment wrapText="1"/>
    </xf>
    <xf numFmtId="4" fontId="73" fillId="3" borderId="3" xfId="2" applyNumberFormat="1" applyFont="1" applyFill="1" applyBorder="1" applyAlignment="1">
      <alignment wrapText="1"/>
    </xf>
    <xf numFmtId="0" fontId="25" fillId="0" borderId="0" xfId="0" applyFont="1"/>
    <xf numFmtId="0" fontId="25" fillId="0" borderId="1" xfId="0" applyFont="1" applyBorder="1"/>
    <xf numFmtId="4" fontId="25" fillId="0" borderId="1" xfId="0" applyNumberFormat="1" applyFont="1" applyBorder="1"/>
    <xf numFmtId="4" fontId="25" fillId="0" borderId="3" xfId="0" applyNumberFormat="1" applyFont="1" applyBorder="1"/>
    <xf numFmtId="195" fontId="28" fillId="0" borderId="2" xfId="3" applyNumberFormat="1" applyFont="1" applyBorder="1" applyAlignment="1">
      <alignment horizontal="left" vertical="top" wrapText="1"/>
    </xf>
    <xf numFmtId="0" fontId="28" fillId="0" borderId="1" xfId="0" applyFont="1" applyBorder="1"/>
    <xf numFmtId="4" fontId="49" fillId="0" borderId="1" xfId="2" applyNumberFormat="1" applyFont="1" applyBorder="1" applyAlignment="1">
      <alignment vertical="top" wrapText="1"/>
    </xf>
    <xf numFmtId="4" fontId="15" fillId="0" borderId="3" xfId="4" applyNumberFormat="1" applyFont="1" applyBorder="1" applyAlignment="1">
      <alignment wrapText="1"/>
    </xf>
    <xf numFmtId="4" fontId="28" fillId="0" borderId="2" xfId="3" applyNumberFormat="1" applyFont="1" applyBorder="1" applyAlignment="1">
      <alignment horizontal="left" vertical="top" wrapText="1"/>
    </xf>
    <xf numFmtId="4" fontId="28" fillId="0" borderId="1" xfId="2" applyNumberFormat="1" applyFont="1" applyBorder="1" applyAlignment="1">
      <alignment vertical="top" wrapText="1"/>
    </xf>
    <xf numFmtId="4" fontId="28" fillId="0" borderId="1" xfId="2" applyNumberFormat="1" applyFont="1" applyBorder="1" applyAlignment="1">
      <alignment wrapText="1"/>
    </xf>
    <xf numFmtId="0" fontId="49" fillId="0" borderId="1" xfId="0" applyFont="1" applyBorder="1" applyAlignment="1">
      <alignment horizontal="center"/>
    </xf>
    <xf numFmtId="191" fontId="84" fillId="0" borderId="2" xfId="0" applyNumberFormat="1" applyFont="1" applyBorder="1" applyAlignment="1">
      <alignment horizontal="center" vertical="top" wrapText="1"/>
    </xf>
    <xf numFmtId="186" fontId="28" fillId="0" borderId="2" xfId="3" applyNumberFormat="1" applyFont="1" applyBorder="1" applyAlignment="1">
      <alignment horizontal="left" vertical="top" wrapText="1"/>
    </xf>
    <xf numFmtId="12" fontId="17" fillId="2" borderId="2" xfId="3" applyNumberFormat="1" applyFont="1" applyFill="1" applyBorder="1" applyAlignment="1">
      <alignment horizontal="left" vertical="top" wrapText="1"/>
    </xf>
    <xf numFmtId="12" fontId="17" fillId="2" borderId="1" xfId="3" applyNumberFormat="1" applyFont="1" applyFill="1" applyBorder="1" applyAlignment="1">
      <alignment vertical="top" wrapText="1"/>
    </xf>
    <xf numFmtId="12" fontId="15" fillId="2" borderId="1" xfId="3" applyNumberFormat="1" applyFont="1" applyFill="1" applyBorder="1" applyAlignment="1">
      <alignment vertical="top" wrapText="1"/>
    </xf>
    <xf numFmtId="4" fontId="15" fillId="2" borderId="1" xfId="3" applyNumberFormat="1" applyFont="1" applyFill="1" applyBorder="1" applyAlignment="1">
      <alignment wrapText="1"/>
    </xf>
    <xf numFmtId="4" fontId="15" fillId="2" borderId="3" xfId="3" applyNumberFormat="1" applyFont="1" applyFill="1" applyBorder="1" applyAlignment="1">
      <alignment wrapText="1"/>
    </xf>
    <xf numFmtId="0" fontId="15" fillId="2" borderId="2" xfId="0" applyFont="1" applyFill="1" applyBorder="1"/>
    <xf numFmtId="0" fontId="15" fillId="2" borderId="1" xfId="0" applyFont="1" applyFill="1" applyBorder="1"/>
    <xf numFmtId="4" fontId="15" fillId="2" borderId="1" xfId="0" applyNumberFormat="1" applyFont="1" applyFill="1" applyBorder="1"/>
    <xf numFmtId="4" fontId="15" fillId="2" borderId="3" xfId="0" applyNumberFormat="1" applyFont="1" applyFill="1" applyBorder="1"/>
    <xf numFmtId="4" fontId="36" fillId="3" borderId="1" xfId="2" applyNumberFormat="1" applyFont="1" applyFill="1" applyBorder="1" applyAlignment="1" applyProtection="1">
      <alignment wrapText="1"/>
      <protection locked="0"/>
    </xf>
    <xf numFmtId="4" fontId="14" fillId="0" borderId="1" xfId="0" applyNumberFormat="1" applyFont="1" applyBorder="1" applyAlignment="1" applyProtection="1">
      <alignment wrapText="1"/>
      <protection locked="0"/>
    </xf>
    <xf numFmtId="4" fontId="14" fillId="0" borderId="1" xfId="4" applyNumberFormat="1" applyFont="1" applyBorder="1" applyAlignment="1" applyProtection="1">
      <alignment horizontal="right" wrapText="1"/>
      <protection locked="0"/>
    </xf>
    <xf numFmtId="4" fontId="20" fillId="0" borderId="1" xfId="2" applyNumberFormat="1" applyFont="1" applyBorder="1" applyAlignment="1" applyProtection="1">
      <alignment wrapText="1"/>
      <protection locked="0"/>
    </xf>
    <xf numFmtId="4" fontId="19" fillId="0" borderId="1" xfId="45" applyNumberFormat="1" applyFont="1" applyBorder="1" applyAlignment="1" applyProtection="1">
      <alignment wrapText="1" readingOrder="1"/>
      <protection locked="0"/>
    </xf>
    <xf numFmtId="4" fontId="35" fillId="3" borderId="1" xfId="2" applyNumberFormat="1" applyFont="1" applyFill="1" applyBorder="1" applyAlignment="1" applyProtection="1">
      <alignment wrapText="1"/>
      <protection locked="0"/>
    </xf>
    <xf numFmtId="4" fontId="17" fillId="3" borderId="1" xfId="2" applyNumberFormat="1" applyFont="1" applyFill="1" applyBorder="1" applyAlignment="1" applyProtection="1">
      <alignment wrapText="1"/>
      <protection locked="0"/>
    </xf>
    <xf numFmtId="4" fontId="22" fillId="0" borderId="1" xfId="2" applyNumberFormat="1" applyFont="1" applyBorder="1" applyAlignment="1" applyProtection="1">
      <alignment wrapText="1"/>
      <protection locked="0"/>
    </xf>
    <xf numFmtId="4" fontId="73" fillId="3" borderId="1" xfId="2" applyNumberFormat="1" applyFont="1" applyFill="1" applyBorder="1" applyAlignment="1" applyProtection="1">
      <alignment wrapText="1"/>
      <protection locked="0"/>
    </xf>
    <xf numFmtId="4" fontId="25" fillId="0" borderId="1" xfId="0" applyNumberFormat="1" applyFont="1" applyBorder="1" applyProtection="1">
      <protection locked="0"/>
    </xf>
    <xf numFmtId="4" fontId="15" fillId="0" borderId="1" xfId="0" applyNumberFormat="1" applyFont="1" applyBorder="1" applyProtection="1">
      <protection locked="0"/>
    </xf>
    <xf numFmtId="4" fontId="15" fillId="2" borderId="1" xfId="3" applyNumberFormat="1" applyFont="1" applyFill="1" applyBorder="1" applyAlignment="1" applyProtection="1">
      <alignment wrapText="1"/>
      <protection locked="0"/>
    </xf>
    <xf numFmtId="4" fontId="15" fillId="2" borderId="1" xfId="0" applyNumberFormat="1" applyFont="1" applyFill="1" applyBorder="1" applyProtection="1">
      <protection locked="0"/>
    </xf>
    <xf numFmtId="12" fontId="15" fillId="4" borderId="5" xfId="3" applyNumberFormat="1" applyFont="1" applyFill="1" applyBorder="1" applyAlignment="1">
      <alignment horizontal="left" wrapText="1"/>
    </xf>
    <xf numFmtId="12" fontId="15" fillId="4" borderId="1" xfId="3" applyNumberFormat="1" applyFont="1" applyFill="1" applyBorder="1" applyAlignment="1">
      <alignment horizontal="left" wrapText="1"/>
    </xf>
    <xf numFmtId="12" fontId="14" fillId="0" borderId="1" xfId="2" applyNumberFormat="1" applyFont="1" applyBorder="1" applyAlignment="1">
      <alignment horizontal="left" wrapText="1"/>
    </xf>
    <xf numFmtId="12" fontId="14" fillId="3" borderId="1" xfId="2" applyNumberFormat="1" applyFont="1" applyFill="1" applyBorder="1" applyAlignment="1">
      <alignment horizontal="left" wrapText="1"/>
    </xf>
    <xf numFmtId="12" fontId="15" fillId="3" borderId="1" xfId="3" applyNumberFormat="1" applyFont="1" applyFill="1" applyBorder="1" applyAlignment="1">
      <alignment horizontal="left" wrapText="1"/>
    </xf>
    <xf numFmtId="12" fontId="51" fillId="0" borderId="1" xfId="2" applyNumberFormat="1" applyFont="1" applyBorder="1" applyAlignment="1">
      <alignment vertical="top" wrapText="1"/>
    </xf>
    <xf numFmtId="12" fontId="17" fillId="3" borderId="1" xfId="3" applyNumberFormat="1" applyFont="1" applyFill="1" applyBorder="1" applyAlignment="1">
      <alignment horizontal="left" wrapText="1"/>
    </xf>
    <xf numFmtId="4" fontId="17" fillId="3" borderId="1" xfId="3" applyNumberFormat="1" applyFont="1" applyFill="1" applyBorder="1" applyAlignment="1">
      <alignment wrapText="1"/>
    </xf>
    <xf numFmtId="4" fontId="17" fillId="3" borderId="3" xfId="3" applyNumberFormat="1" applyFont="1" applyFill="1" applyBorder="1" applyAlignment="1">
      <alignment wrapText="1"/>
    </xf>
    <xf numFmtId="12" fontId="50" fillId="0" borderId="1" xfId="2" applyNumberFormat="1" applyFont="1" applyBorder="1" applyAlignment="1">
      <alignment vertical="top" wrapText="1"/>
    </xf>
    <xf numFmtId="177" fontId="17" fillId="0" borderId="2" xfId="3" applyNumberFormat="1" applyFont="1" applyBorder="1" applyAlignment="1">
      <alignment horizontal="left" vertical="top" wrapText="1"/>
    </xf>
    <xf numFmtId="12" fontId="14" fillId="0" borderId="1" xfId="0" applyNumberFormat="1" applyFont="1" applyBorder="1" applyAlignment="1">
      <alignment horizontal="left"/>
    </xf>
    <xf numFmtId="12" fontId="35" fillId="0" borderId="2" xfId="2" applyNumberFormat="1" applyFont="1" applyBorder="1" applyAlignment="1">
      <alignment horizontal="left" vertical="top" wrapText="1"/>
    </xf>
    <xf numFmtId="12" fontId="35" fillId="0" borderId="1" xfId="2" applyNumberFormat="1" applyFont="1" applyBorder="1" applyAlignment="1">
      <alignment vertical="top" wrapText="1"/>
    </xf>
    <xf numFmtId="12" fontId="37" fillId="0" borderId="1" xfId="2" applyNumberFormat="1" applyFont="1" applyBorder="1" applyAlignment="1">
      <alignment horizontal="left" wrapText="1"/>
    </xf>
    <xf numFmtId="4" fontId="37" fillId="0" borderId="1" xfId="2" applyNumberFormat="1" applyFont="1" applyBorder="1" applyAlignment="1">
      <alignment wrapText="1"/>
    </xf>
    <xf numFmtId="12" fontId="37" fillId="0" borderId="1" xfId="0" applyNumberFormat="1" applyFont="1" applyBorder="1" applyAlignment="1">
      <alignment horizontal="left"/>
    </xf>
    <xf numFmtId="12" fontId="49" fillId="0" borderId="1" xfId="0" applyNumberFormat="1" applyFont="1" applyBorder="1" applyAlignment="1">
      <alignment wrapText="1"/>
    </xf>
    <xf numFmtId="0" fontId="25" fillId="0" borderId="1" xfId="0" applyFont="1" applyBorder="1" applyAlignment="1">
      <alignment horizontal="left"/>
    </xf>
    <xf numFmtId="0" fontId="22" fillId="0" borderId="1" xfId="0" applyFont="1" applyBorder="1" applyAlignment="1">
      <alignment horizontal="left" wrapText="1"/>
    </xf>
    <xf numFmtId="4" fontId="22" fillId="0" borderId="1" xfId="0" applyNumberFormat="1" applyFont="1" applyBorder="1" applyAlignment="1">
      <alignment wrapText="1"/>
    </xf>
    <xf numFmtId="175" fontId="52" fillId="0" borderId="2" xfId="3" applyNumberFormat="1" applyFont="1" applyBorder="1" applyAlignment="1">
      <alignment horizontal="left" vertical="top" wrapText="1"/>
    </xf>
    <xf numFmtId="175" fontId="42" fillId="0" borderId="2" xfId="3" applyNumberFormat="1" applyFont="1" applyBorder="1" applyAlignment="1">
      <alignment horizontal="left" vertical="top" wrapText="1"/>
    </xf>
    <xf numFmtId="0" fontId="40" fillId="0" borderId="1" xfId="0" applyFont="1" applyBorder="1" applyAlignment="1">
      <alignment horizontal="left" vertical="top" wrapText="1"/>
    </xf>
    <xf numFmtId="4" fontId="38" fillId="0" borderId="1" xfId="0" applyNumberFormat="1" applyFont="1" applyBorder="1" applyAlignment="1">
      <alignment wrapText="1"/>
    </xf>
    <xf numFmtId="12" fontId="40" fillId="0" borderId="1" xfId="2" applyNumberFormat="1" applyFont="1" applyBorder="1" applyAlignment="1">
      <alignment vertical="top" wrapText="1"/>
    </xf>
    <xf numFmtId="4" fontId="48" fillId="0" borderId="1" xfId="2" applyNumberFormat="1" applyFont="1" applyBorder="1" applyAlignment="1">
      <alignment vertical="top" wrapText="1"/>
    </xf>
    <xf numFmtId="12" fontId="31" fillId="0" borderId="1" xfId="2" applyNumberFormat="1" applyFont="1" applyBorder="1" applyAlignment="1">
      <alignment vertical="top" wrapText="1"/>
    </xf>
    <xf numFmtId="0" fontId="104" fillId="0" borderId="0" xfId="0" applyFont="1"/>
    <xf numFmtId="176" fontId="17" fillId="0" borderId="2" xfId="3" applyNumberFormat="1" applyFont="1" applyBorder="1" applyAlignment="1">
      <alignment horizontal="left" vertical="top" wrapText="1"/>
    </xf>
    <xf numFmtId="0" fontId="20" fillId="0" borderId="1" xfId="2" applyFont="1" applyBorder="1" applyAlignment="1">
      <alignment horizontal="left" vertical="top" wrapText="1"/>
    </xf>
    <xf numFmtId="174" fontId="17" fillId="0" borderId="2" xfId="3" applyNumberFormat="1" applyFont="1" applyBorder="1" applyAlignment="1">
      <alignment horizontal="left" vertical="top" wrapText="1"/>
    </xf>
    <xf numFmtId="0" fontId="220" fillId="0" borderId="0" xfId="0" applyFont="1"/>
    <xf numFmtId="0" fontId="14" fillId="0" borderId="1" xfId="0" applyFont="1" applyBorder="1" applyAlignment="1">
      <alignment horizontal="left"/>
    </xf>
    <xf numFmtId="12" fontId="17" fillId="0" borderId="1" xfId="3" applyNumberFormat="1" applyFont="1" applyBorder="1" applyAlignment="1">
      <alignment vertical="top" wrapText="1"/>
    </xf>
    <xf numFmtId="12" fontId="17" fillId="0" borderId="1" xfId="3" applyNumberFormat="1" applyFont="1" applyBorder="1" applyAlignment="1">
      <alignment horizontal="left" wrapText="1"/>
    </xf>
    <xf numFmtId="4" fontId="17" fillId="0" borderId="1" xfId="3" applyNumberFormat="1" applyFont="1" applyBorder="1" applyAlignment="1">
      <alignment wrapText="1"/>
    </xf>
    <xf numFmtId="4" fontId="17" fillId="0" borderId="3" xfId="3" applyNumberFormat="1" applyFont="1" applyBorder="1" applyAlignment="1">
      <alignment wrapText="1"/>
    </xf>
    <xf numFmtId="4" fontId="37" fillId="0" borderId="3" xfId="2" applyNumberFormat="1" applyFont="1" applyBorder="1" applyAlignment="1">
      <alignment wrapText="1"/>
    </xf>
    <xf numFmtId="12" fontId="52" fillId="0" borderId="1" xfId="2" applyNumberFormat="1" applyFont="1" applyBorder="1" applyAlignment="1">
      <alignment vertical="top" wrapText="1"/>
    </xf>
    <xf numFmtId="178" fontId="17" fillId="0" borderId="2" xfId="3" applyNumberFormat="1" applyFont="1" applyBorder="1" applyAlignment="1">
      <alignment horizontal="left" vertical="top" wrapText="1"/>
    </xf>
    <xf numFmtId="178" fontId="35" fillId="0" borderId="2" xfId="3" applyNumberFormat="1" applyFont="1" applyBorder="1" applyAlignment="1">
      <alignment horizontal="left" vertical="top" wrapText="1"/>
    </xf>
    <xf numFmtId="0" fontId="57" fillId="0" borderId="0" xfId="0" applyFont="1"/>
    <xf numFmtId="0" fontId="43" fillId="0" borderId="0" xfId="0" applyFont="1"/>
    <xf numFmtId="179" fontId="17" fillId="0" borderId="2" xfId="3" applyNumberFormat="1" applyFont="1" applyBorder="1" applyAlignment="1">
      <alignment horizontal="left" vertical="top" wrapText="1"/>
    </xf>
    <xf numFmtId="173" fontId="17" fillId="0" borderId="2" xfId="3" applyNumberFormat="1" applyFont="1" applyBorder="1" applyAlignment="1">
      <alignment horizontal="left" vertical="top" wrapText="1"/>
    </xf>
    <xf numFmtId="4" fontId="57" fillId="0" borderId="0" xfId="0" applyNumberFormat="1" applyFont="1"/>
    <xf numFmtId="0" fontId="37" fillId="0" borderId="1" xfId="0" applyFont="1" applyBorder="1" applyAlignment="1">
      <alignment horizontal="left"/>
    </xf>
    <xf numFmtId="12" fontId="17" fillId="0" borderId="2" xfId="2" applyNumberFormat="1" applyFont="1" applyBorder="1" applyAlignment="1">
      <alignment horizontal="right" vertical="top" wrapText="1"/>
    </xf>
    <xf numFmtId="12" fontId="52" fillId="0" borderId="2" xfId="2" applyNumberFormat="1" applyFont="1" applyBorder="1" applyAlignment="1">
      <alignment horizontal="right" vertical="top" wrapText="1"/>
    </xf>
    <xf numFmtId="12" fontId="20" fillId="0" borderId="1" xfId="2" applyNumberFormat="1" applyFont="1" applyBorder="1" applyAlignment="1">
      <alignment horizontal="left" wrapText="1"/>
    </xf>
    <xf numFmtId="4" fontId="39" fillId="0" borderId="3" xfId="2" applyNumberFormat="1" applyFont="1" applyBorder="1" applyAlignment="1">
      <alignment wrapText="1"/>
    </xf>
    <xf numFmtId="0" fontId="44" fillId="0" borderId="0" xfId="0" applyFont="1"/>
    <xf numFmtId="4" fontId="20" fillId="0" borderId="3" xfId="2" applyNumberFormat="1" applyFont="1" applyBorder="1" applyAlignment="1">
      <alignment wrapText="1"/>
    </xf>
    <xf numFmtId="12" fontId="52" fillId="0" borderId="1" xfId="2" applyNumberFormat="1" applyFont="1" applyBorder="1" applyAlignment="1">
      <alignment horizontal="left" wrapText="1"/>
    </xf>
    <xf numFmtId="4" fontId="52" fillId="0" borderId="1" xfId="2" applyNumberFormat="1" applyFont="1" applyBorder="1" applyAlignment="1">
      <alignment wrapText="1"/>
    </xf>
    <xf numFmtId="4" fontId="41" fillId="0" borderId="3" xfId="2" applyNumberFormat="1" applyFont="1" applyBorder="1" applyAlignment="1">
      <alignment wrapText="1"/>
    </xf>
    <xf numFmtId="0" fontId="45" fillId="0" borderId="0" xfId="0" applyFont="1"/>
    <xf numFmtId="0" fontId="56" fillId="0" borderId="1" xfId="0" applyFont="1" applyBorder="1" applyAlignment="1">
      <alignment vertical="top" wrapText="1"/>
    </xf>
    <xf numFmtId="4" fontId="56" fillId="0" borderId="1" xfId="0" applyNumberFormat="1" applyFont="1" applyBorder="1" applyAlignment="1">
      <alignment wrapText="1"/>
    </xf>
    <xf numFmtId="0" fontId="56" fillId="0" borderId="1" xfId="0" applyFont="1" applyBorder="1" applyAlignment="1">
      <alignment wrapText="1"/>
    </xf>
    <xf numFmtId="0" fontId="56" fillId="0" borderId="1" xfId="0" applyFont="1" applyBorder="1" applyAlignment="1">
      <alignment horizontal="left" wrapText="1"/>
    </xf>
    <xf numFmtId="4" fontId="56" fillId="0" borderId="3" xfId="0" applyNumberFormat="1" applyFont="1" applyBorder="1" applyAlignment="1">
      <alignment wrapText="1"/>
    </xf>
    <xf numFmtId="0" fontId="62" fillId="0" borderId="0" xfId="0" applyFont="1"/>
    <xf numFmtId="0" fontId="23" fillId="0" borderId="1" xfId="0" applyFont="1" applyBorder="1" applyAlignment="1">
      <alignment horizontal="left" wrapText="1"/>
    </xf>
    <xf numFmtId="4" fontId="23" fillId="0" borderId="1" xfId="0" applyNumberFormat="1" applyFont="1" applyBorder="1" applyAlignment="1">
      <alignment wrapText="1"/>
    </xf>
    <xf numFmtId="4" fontId="23" fillId="0" borderId="3" xfId="0" applyNumberFormat="1" applyFont="1" applyBorder="1" applyAlignment="1">
      <alignment wrapText="1"/>
    </xf>
    <xf numFmtId="0" fontId="56" fillId="0" borderId="1" xfId="0" applyFont="1" applyBorder="1"/>
    <xf numFmtId="12" fontId="20" fillId="0" borderId="2" xfId="2" applyNumberFormat="1" applyFont="1" applyBorder="1" applyAlignment="1">
      <alignment horizontal="right" vertical="top" wrapText="1"/>
    </xf>
    <xf numFmtId="0" fontId="21" fillId="0" borderId="1" xfId="0" applyFont="1" applyBorder="1" applyAlignment="1">
      <alignment horizontal="left" wrapText="1"/>
    </xf>
    <xf numFmtId="0" fontId="55" fillId="0" borderId="1" xfId="0" applyFont="1" applyBorder="1" applyAlignment="1">
      <alignment horizontal="left" wrapText="1"/>
    </xf>
    <xf numFmtId="0" fontId="0" fillId="0" borderId="0" xfId="0" applyAlignment="1">
      <alignment wrapText="1"/>
    </xf>
    <xf numFmtId="4" fontId="56" fillId="0" borderId="0" xfId="0" applyNumberFormat="1" applyFont="1" applyAlignment="1">
      <alignment wrapText="1"/>
    </xf>
    <xf numFmtId="0" fontId="56" fillId="0" borderId="0" xfId="0" applyFont="1" applyAlignment="1">
      <alignment wrapText="1"/>
    </xf>
    <xf numFmtId="180" fontId="0" fillId="0" borderId="0" xfId="0" applyNumberFormat="1" applyAlignment="1">
      <alignment wrapText="1"/>
    </xf>
    <xf numFmtId="49" fontId="56" fillId="0" borderId="2" xfId="0" applyNumberFormat="1" applyFont="1" applyBorder="1" applyAlignment="1">
      <alignment horizontal="left" wrapText="1"/>
    </xf>
    <xf numFmtId="0" fontId="23" fillId="0" borderId="0" xfId="0" applyFont="1" applyAlignment="1">
      <alignment wrapText="1"/>
    </xf>
    <xf numFmtId="4" fontId="23" fillId="0" borderId="0" xfId="0" applyNumberFormat="1" applyFont="1" applyAlignment="1">
      <alignment wrapText="1"/>
    </xf>
    <xf numFmtId="180" fontId="23" fillId="0" borderId="0" xfId="0" applyNumberFormat="1" applyFont="1" applyAlignment="1">
      <alignment wrapText="1"/>
    </xf>
    <xf numFmtId="4" fontId="55" fillId="0" borderId="1" xfId="0" applyNumberFormat="1" applyFont="1" applyBorder="1" applyAlignment="1">
      <alignment wrapText="1"/>
    </xf>
    <xf numFmtId="12" fontId="63" fillId="0" borderId="1" xfId="2" applyNumberFormat="1" applyFont="1" applyBorder="1" applyAlignment="1">
      <alignment vertical="top" wrapText="1"/>
    </xf>
    <xf numFmtId="49" fontId="0" fillId="0" borderId="2" xfId="0" applyNumberFormat="1" applyBorder="1" applyAlignment="1">
      <alignment wrapText="1"/>
    </xf>
    <xf numFmtId="12" fontId="19" fillId="0" borderId="1" xfId="2" applyNumberFormat="1" applyFont="1" applyBorder="1" applyAlignment="1">
      <alignment vertical="top" wrapText="1"/>
    </xf>
    <xf numFmtId="12" fontId="21" fillId="0" borderId="2" xfId="2" applyNumberFormat="1" applyFont="1" applyBorder="1" applyAlignment="1">
      <alignment horizontal="right" vertical="top" wrapText="1"/>
    </xf>
    <xf numFmtId="12" fontId="63" fillId="0" borderId="1" xfId="2" applyNumberFormat="1" applyFont="1" applyBorder="1" applyAlignment="1">
      <alignment horizontal="left" vertical="top" wrapText="1"/>
    </xf>
    <xf numFmtId="49" fontId="56" fillId="0" borderId="2" xfId="0" applyNumberFormat="1" applyFont="1" applyBorder="1" applyAlignment="1">
      <alignment horizontal="center" vertical="center" wrapText="1"/>
    </xf>
    <xf numFmtId="49" fontId="56" fillId="0" borderId="2" xfId="0" applyNumberFormat="1" applyFont="1" applyBorder="1" applyAlignment="1">
      <alignment horizontal="right" vertical="center" wrapText="1"/>
    </xf>
    <xf numFmtId="49" fontId="21" fillId="0" borderId="2" xfId="0" quotePrefix="1" applyNumberFormat="1" applyFont="1" applyBorder="1" applyAlignment="1">
      <alignment horizontal="right" wrapText="1"/>
    </xf>
    <xf numFmtId="12" fontId="21" fillId="0" borderId="1" xfId="2" applyNumberFormat="1" applyFont="1" applyBorder="1" applyAlignment="1">
      <alignment vertical="top" wrapText="1"/>
    </xf>
    <xf numFmtId="0" fontId="64" fillId="0" borderId="1" xfId="0" applyFont="1" applyBorder="1" applyAlignment="1">
      <alignment horizontal="left" wrapText="1"/>
    </xf>
    <xf numFmtId="4" fontId="64" fillId="0" borderId="1" xfId="0" applyNumberFormat="1" applyFont="1" applyBorder="1" applyAlignment="1">
      <alignment wrapText="1"/>
    </xf>
    <xf numFmtId="4" fontId="21" fillId="0" borderId="1" xfId="0" applyNumberFormat="1" applyFont="1" applyBorder="1" applyAlignment="1">
      <alignment wrapText="1"/>
    </xf>
    <xf numFmtId="0" fontId="21" fillId="0" borderId="0" xfId="0" applyFont="1" applyAlignment="1">
      <alignment horizontal="left" vertical="top" wrapText="1"/>
    </xf>
    <xf numFmtId="4" fontId="21" fillId="0" borderId="0" xfId="0" applyNumberFormat="1" applyFont="1" applyAlignment="1">
      <alignment wrapText="1"/>
    </xf>
    <xf numFmtId="0" fontId="21" fillId="0" borderId="0" xfId="0" applyFont="1" applyAlignment="1">
      <alignment wrapText="1"/>
    </xf>
    <xf numFmtId="180" fontId="21" fillId="0" borderId="0" xfId="0" applyNumberFormat="1" applyFont="1" applyAlignment="1">
      <alignment wrapText="1"/>
    </xf>
    <xf numFmtId="49" fontId="56" fillId="0" borderId="2" xfId="0" applyNumberFormat="1" applyFont="1" applyBorder="1" applyAlignment="1">
      <alignment horizontal="right" wrapText="1"/>
    </xf>
    <xf numFmtId="0" fontId="23" fillId="0" borderId="0" xfId="0" applyFont="1" applyAlignment="1">
      <alignment horizontal="left" vertical="top" wrapText="1"/>
    </xf>
    <xf numFmtId="0" fontId="66" fillId="0" borderId="0" xfId="0" applyFont="1" applyAlignment="1">
      <alignment wrapText="1"/>
    </xf>
    <xf numFmtId="180" fontId="66" fillId="0" borderId="0" xfId="0" applyNumberFormat="1" applyFont="1" applyAlignment="1">
      <alignment wrapText="1"/>
    </xf>
    <xf numFmtId="2" fontId="23" fillId="0" borderId="1" xfId="0" applyNumberFormat="1" applyFont="1" applyBorder="1" applyAlignment="1">
      <alignment horizontal="left" wrapText="1" shrinkToFit="1" readingOrder="1"/>
    </xf>
    <xf numFmtId="4" fontId="23" fillId="0" borderId="1" xfId="0" applyNumberFormat="1" applyFont="1" applyBorder="1" applyAlignment="1">
      <alignment wrapText="1" shrinkToFit="1" readingOrder="1"/>
    </xf>
    <xf numFmtId="180" fontId="56" fillId="0" borderId="0" xfId="0" applyNumberFormat="1" applyFont="1" applyAlignment="1">
      <alignment wrapText="1"/>
    </xf>
    <xf numFmtId="173" fontId="35" fillId="0" borderId="2" xfId="3" applyNumberFormat="1" applyFont="1" applyBorder="1" applyAlignment="1">
      <alignment horizontal="left" vertical="top" wrapText="1"/>
    </xf>
    <xf numFmtId="12" fontId="20" fillId="0" borderId="1" xfId="2" applyNumberFormat="1" applyFont="1" applyBorder="1" applyAlignment="1">
      <alignment wrapText="1"/>
    </xf>
    <xf numFmtId="172" fontId="17" fillId="0" borderId="2" xfId="3" applyNumberFormat="1" applyFont="1" applyBorder="1" applyAlignment="1">
      <alignment horizontal="left" vertical="top" wrapText="1"/>
    </xf>
    <xf numFmtId="172" fontId="35" fillId="0" borderId="2" xfId="3" applyNumberFormat="1" applyFont="1" applyBorder="1" applyAlignment="1">
      <alignment horizontal="left" vertical="top" wrapText="1"/>
    </xf>
    <xf numFmtId="4" fontId="37" fillId="0" borderId="1" xfId="0" applyNumberFormat="1" applyFont="1" applyBorder="1" applyAlignment="1">
      <alignment horizontal="left"/>
    </xf>
    <xf numFmtId="4" fontId="14" fillId="0" borderId="1" xfId="0" applyNumberFormat="1" applyFont="1" applyBorder="1" applyAlignment="1">
      <alignment horizontal="left"/>
    </xf>
    <xf numFmtId="12" fontId="14" fillId="0" borderId="1" xfId="0" applyNumberFormat="1" applyFont="1" applyBorder="1" applyAlignment="1">
      <alignment horizontal="left" vertical="top"/>
    </xf>
    <xf numFmtId="12" fontId="73" fillId="3" borderId="1" xfId="3" applyNumberFormat="1" applyFont="1" applyFill="1" applyBorder="1" applyAlignment="1">
      <alignment vertical="top" wrapText="1"/>
    </xf>
    <xf numFmtId="4" fontId="73" fillId="3" borderId="1" xfId="3" applyNumberFormat="1" applyFont="1" applyFill="1" applyBorder="1" applyAlignment="1">
      <alignment wrapText="1"/>
    </xf>
    <xf numFmtId="4" fontId="73" fillId="3" borderId="3" xfId="3" applyNumberFormat="1" applyFont="1" applyFill="1" applyBorder="1" applyAlignment="1">
      <alignment wrapText="1"/>
    </xf>
    <xf numFmtId="0" fontId="83" fillId="0" borderId="0" xfId="0" applyFont="1"/>
    <xf numFmtId="12" fontId="73" fillId="0" borderId="2" xfId="2" applyNumberFormat="1" applyFont="1" applyBorder="1" applyAlignment="1">
      <alignment horizontal="left" vertical="top" wrapText="1"/>
    </xf>
    <xf numFmtId="4" fontId="24" fillId="0" borderId="1" xfId="2" applyNumberFormat="1" applyFont="1" applyBorder="1" applyAlignment="1">
      <alignment vertical="top" wrapText="1"/>
    </xf>
    <xf numFmtId="12" fontId="13" fillId="0" borderId="1" xfId="0" applyNumberFormat="1" applyFont="1" applyBorder="1"/>
    <xf numFmtId="4" fontId="13" fillId="0" borderId="1" xfId="0" applyNumberFormat="1" applyFont="1" applyBorder="1"/>
    <xf numFmtId="4" fontId="13" fillId="0" borderId="3" xfId="4" applyNumberFormat="1" applyFont="1" applyBorder="1" applyAlignment="1">
      <alignment wrapText="1"/>
    </xf>
    <xf numFmtId="196" fontId="73" fillId="0" borderId="2" xfId="3" applyNumberFormat="1" applyFont="1" applyBorder="1" applyAlignment="1">
      <alignment horizontal="left" vertical="top" wrapText="1"/>
    </xf>
    <xf numFmtId="12" fontId="73" fillId="0" borderId="1" xfId="2" applyNumberFormat="1" applyFont="1" applyBorder="1" applyAlignment="1">
      <alignment vertical="top" wrapText="1"/>
    </xf>
    <xf numFmtId="12" fontId="25" fillId="0" borderId="1" xfId="0" applyNumberFormat="1" applyFont="1" applyBorder="1"/>
    <xf numFmtId="4" fontId="49" fillId="0" borderId="1" xfId="2" applyNumberFormat="1" applyFont="1" applyBorder="1" applyAlignment="1">
      <alignment vertical="top"/>
    </xf>
    <xf numFmtId="4" fontId="25" fillId="0" borderId="3" xfId="4" applyNumberFormat="1" applyFont="1" applyBorder="1" applyAlignment="1">
      <alignment wrapText="1"/>
    </xf>
    <xf numFmtId="4" fontId="49" fillId="0" borderId="1" xfId="2" quotePrefix="1" applyNumberFormat="1" applyFont="1" applyBorder="1" applyAlignment="1">
      <alignment vertical="top"/>
    </xf>
    <xf numFmtId="12" fontId="15" fillId="2" borderId="1" xfId="3" applyNumberFormat="1" applyFont="1" applyFill="1" applyBorder="1" applyAlignment="1">
      <alignment horizontal="left" wrapText="1"/>
    </xf>
    <xf numFmtId="4" fontId="17" fillId="3" borderId="1" xfId="3" applyNumberFormat="1" applyFont="1" applyFill="1" applyBorder="1" applyAlignment="1" applyProtection="1">
      <alignment wrapText="1"/>
      <protection locked="0"/>
    </xf>
    <xf numFmtId="4" fontId="37" fillId="0" borderId="1" xfId="2" applyNumberFormat="1" applyFont="1" applyBorder="1" applyAlignment="1" applyProtection="1">
      <alignment wrapText="1"/>
      <protection locked="0"/>
    </xf>
    <xf numFmtId="4" fontId="17" fillId="0" borderId="1" xfId="3" applyNumberFormat="1" applyFont="1" applyBorder="1" applyAlignment="1" applyProtection="1">
      <alignment wrapText="1"/>
      <protection locked="0"/>
    </xf>
    <xf numFmtId="4" fontId="52" fillId="0" borderId="1" xfId="2" applyNumberFormat="1" applyFont="1" applyBorder="1" applyAlignment="1" applyProtection="1">
      <alignment wrapText="1"/>
      <protection locked="0"/>
    </xf>
    <xf numFmtId="4" fontId="39" fillId="0" borderId="1" xfId="2" applyNumberFormat="1" applyFont="1" applyBorder="1" applyAlignment="1" applyProtection="1">
      <alignment wrapText="1"/>
      <protection locked="0"/>
    </xf>
    <xf numFmtId="4" fontId="56" fillId="0" borderId="1" xfId="0" applyNumberFormat="1" applyFont="1" applyBorder="1" applyAlignment="1" applyProtection="1">
      <alignment wrapText="1"/>
      <protection locked="0"/>
    </xf>
    <xf numFmtId="4" fontId="55" fillId="0" borderId="1" xfId="0" applyNumberFormat="1" applyFont="1" applyBorder="1" applyAlignment="1" applyProtection="1">
      <alignment wrapText="1"/>
      <protection locked="0"/>
    </xf>
    <xf numFmtId="4" fontId="21" fillId="0" borderId="1" xfId="0" applyNumberFormat="1" applyFont="1" applyBorder="1" applyAlignment="1" applyProtection="1">
      <alignment wrapText="1"/>
      <protection locked="0"/>
    </xf>
    <xf numFmtId="4" fontId="73" fillId="3" borderId="1" xfId="3" applyNumberFormat="1" applyFont="1" applyFill="1" applyBorder="1" applyAlignment="1" applyProtection="1">
      <alignment wrapText="1"/>
      <protection locked="0"/>
    </xf>
    <xf numFmtId="4" fontId="13" fillId="0" borderId="1" xfId="0" applyNumberFormat="1" applyFont="1" applyBorder="1" applyProtection="1">
      <protection locked="0"/>
    </xf>
    <xf numFmtId="0" fontId="31" fillId="0" borderId="4" xfId="41" applyFont="1" applyBorder="1" applyAlignment="1">
      <alignment horizontal="center"/>
    </xf>
    <xf numFmtId="0" fontId="31" fillId="0" borderId="5" xfId="41" applyFont="1" applyBorder="1" applyAlignment="1">
      <alignment wrapText="1"/>
    </xf>
    <xf numFmtId="0" fontId="31" fillId="0" borderId="5" xfId="41" applyFont="1" applyBorder="1" applyAlignment="1">
      <alignment horizontal="center"/>
    </xf>
    <xf numFmtId="4" fontId="31" fillId="0" borderId="5" xfId="41" applyNumberFormat="1" applyFont="1" applyBorder="1"/>
    <xf numFmtId="4" fontId="87" fillId="0" borderId="6" xfId="41" applyNumberFormat="1" applyFont="1" applyBorder="1"/>
    <xf numFmtId="0" fontId="69" fillId="0" borderId="1" xfId="41" applyFont="1" applyBorder="1" applyAlignment="1">
      <alignment horizontal="left" vertical="center" wrapText="1"/>
    </xf>
    <xf numFmtId="0" fontId="70" fillId="0" borderId="1" xfId="41" applyFont="1" applyBorder="1" applyAlignment="1">
      <alignment horizontal="left" wrapText="1"/>
    </xf>
    <xf numFmtId="4" fontId="70" fillId="0" borderId="1" xfId="41" applyNumberFormat="1" applyFont="1" applyBorder="1" applyAlignment="1">
      <alignment wrapText="1"/>
    </xf>
    <xf numFmtId="4" fontId="70" fillId="0" borderId="1" xfId="41" applyNumberFormat="1" applyFont="1" applyBorder="1"/>
    <xf numFmtId="4" fontId="69" fillId="0" borderId="3" xfId="41" applyNumberFormat="1" applyFont="1" applyBorder="1"/>
    <xf numFmtId="0" fontId="71" fillId="8" borderId="2" xfId="41" applyFont="1" applyFill="1" applyBorder="1" applyAlignment="1">
      <alignment horizontal="center"/>
    </xf>
    <xf numFmtId="0" fontId="70" fillId="8" borderId="1" xfId="41" applyFont="1" applyFill="1" applyBorder="1" applyAlignment="1">
      <alignment horizontal="left"/>
    </xf>
    <xf numFmtId="0" fontId="71" fillId="8" borderId="1" xfId="41" applyFont="1" applyFill="1" applyBorder="1"/>
    <xf numFmtId="4" fontId="71" fillId="8" borderId="1" xfId="41" applyNumberFormat="1" applyFont="1" applyFill="1" applyBorder="1"/>
    <xf numFmtId="4" fontId="69" fillId="8" borderId="3" xfId="41" applyNumberFormat="1" applyFont="1" applyFill="1" applyBorder="1"/>
    <xf numFmtId="0" fontId="72" fillId="0" borderId="1" xfId="41" applyFont="1" applyBorder="1" applyAlignment="1">
      <alignment horizontal="left" vertical="center" wrapText="1"/>
    </xf>
    <xf numFmtId="0" fontId="73" fillId="0" borderId="1" xfId="41" applyFont="1" applyBorder="1" applyAlignment="1">
      <alignment horizontal="left" wrapText="1"/>
    </xf>
    <xf numFmtId="4" fontId="73" fillId="0" borderId="1" xfId="41" applyNumberFormat="1" applyFont="1" applyBorder="1" applyAlignment="1">
      <alignment wrapText="1"/>
    </xf>
    <xf numFmtId="4" fontId="72" fillId="0" borderId="3" xfId="41" applyNumberFormat="1" applyFont="1" applyBorder="1"/>
    <xf numFmtId="212" fontId="17" fillId="0" borderId="2" xfId="3" applyNumberFormat="1" applyFont="1" applyBorder="1" applyAlignment="1">
      <alignment horizontal="left" vertical="top" wrapText="1"/>
    </xf>
    <xf numFmtId="0" fontId="18" fillId="0" borderId="1" xfId="41" applyBorder="1"/>
    <xf numFmtId="4" fontId="18" fillId="0" borderId="1" xfId="41" applyNumberFormat="1" applyBorder="1"/>
    <xf numFmtId="0" fontId="72" fillId="0" borderId="1" xfId="41" applyFont="1" applyBorder="1" applyAlignment="1">
      <alignment horizontal="center" vertical="center" wrapText="1"/>
    </xf>
    <xf numFmtId="4" fontId="14" fillId="0" borderId="1" xfId="43" applyNumberFormat="1" applyFont="1" applyBorder="1" applyAlignment="1">
      <alignment wrapText="1"/>
    </xf>
    <xf numFmtId="0" fontId="15" fillId="0" borderId="2" xfId="41" applyFont="1" applyBorder="1" applyAlignment="1">
      <alignment horizontal="center" vertical="top" wrapText="1"/>
    </xf>
    <xf numFmtId="0" fontId="73" fillId="9" borderId="1" xfId="41" applyFont="1" applyFill="1" applyBorder="1" applyAlignment="1">
      <alignment horizontal="left" vertical="center" wrapText="1"/>
    </xf>
    <xf numFmtId="0" fontId="73" fillId="0" borderId="1" xfId="41" applyFont="1" applyBorder="1" applyAlignment="1">
      <alignment horizontal="left" vertical="center" wrapText="1"/>
    </xf>
    <xf numFmtId="0" fontId="14" fillId="0" borderId="1" xfId="41" applyFont="1" applyBorder="1" applyAlignment="1">
      <alignment vertical="center" wrapText="1"/>
    </xf>
    <xf numFmtId="0" fontId="22" fillId="0" borderId="1" xfId="41" applyFont="1" applyBorder="1" applyAlignment="1">
      <alignment horizontal="center" wrapText="1"/>
    </xf>
    <xf numFmtId="4" fontId="22" fillId="0" borderId="1" xfId="41" applyNumberFormat="1" applyFont="1" applyBorder="1" applyAlignment="1">
      <alignment wrapText="1"/>
    </xf>
    <xf numFmtId="0" fontId="27" fillId="0" borderId="2" xfId="41" applyFont="1" applyBorder="1" applyAlignment="1">
      <alignment horizontal="right" vertical="top" wrapText="1"/>
    </xf>
    <xf numFmtId="49" fontId="14" fillId="0" borderId="1" xfId="41" applyNumberFormat="1" applyFont="1" applyBorder="1" applyAlignment="1">
      <alignment vertical="center" wrapText="1"/>
    </xf>
    <xf numFmtId="0" fontId="14" fillId="0" borderId="1" xfId="43" applyFont="1" applyBorder="1" applyAlignment="1">
      <alignment horizontal="center" wrapText="1"/>
    </xf>
    <xf numFmtId="0" fontId="70" fillId="0" borderId="2" xfId="41" applyFont="1" applyBorder="1" applyAlignment="1">
      <alignment horizontal="center"/>
    </xf>
    <xf numFmtId="0" fontId="38" fillId="0" borderId="1" xfId="41" applyFont="1" applyBorder="1" applyAlignment="1">
      <alignment horizontal="center" wrapText="1"/>
    </xf>
    <xf numFmtId="4" fontId="38" fillId="0" borderId="1" xfId="41" applyNumberFormat="1" applyFont="1" applyBorder="1" applyAlignment="1">
      <alignment wrapText="1"/>
    </xf>
    <xf numFmtId="0" fontId="75" fillId="0" borderId="2" xfId="41" applyFont="1" applyBorder="1" applyAlignment="1">
      <alignment horizontal="right" vertical="top" wrapText="1"/>
    </xf>
    <xf numFmtId="4" fontId="65" fillId="0" borderId="1" xfId="43" applyNumberFormat="1" applyFont="1" applyBorder="1" applyAlignment="1">
      <alignment wrapText="1"/>
    </xf>
    <xf numFmtId="0" fontId="14" fillId="0" borderId="1" xfId="41" applyFont="1" applyBorder="1" applyAlignment="1">
      <alignment vertical="top" wrapText="1"/>
    </xf>
    <xf numFmtId="2" fontId="14" fillId="0" borderId="1" xfId="41" applyNumberFormat="1" applyFont="1" applyBorder="1" applyAlignment="1">
      <alignment vertical="center" wrapText="1"/>
    </xf>
    <xf numFmtId="0" fontId="36" fillId="0" borderId="2" xfId="41" applyFont="1" applyBorder="1" applyAlignment="1">
      <alignment horizontal="center" vertical="top" wrapText="1"/>
    </xf>
    <xf numFmtId="49" fontId="37" fillId="0" borderId="1" xfId="41" applyNumberFormat="1" applyFont="1" applyBorder="1" applyAlignment="1">
      <alignment vertical="center" wrapText="1"/>
    </xf>
    <xf numFmtId="0" fontId="37" fillId="0" borderId="1" xfId="43" applyFont="1" applyBorder="1" applyAlignment="1">
      <alignment horizontal="center" wrapText="1"/>
    </xf>
    <xf numFmtId="4" fontId="76" fillId="0" borderId="1" xfId="43" applyNumberFormat="1" applyFont="1" applyBorder="1" applyAlignment="1">
      <alignment wrapText="1"/>
    </xf>
    <xf numFmtId="49" fontId="13" fillId="0" borderId="1" xfId="41" applyNumberFormat="1" applyFont="1" applyBorder="1" applyAlignment="1">
      <alignment vertical="center" wrapText="1"/>
    </xf>
    <xf numFmtId="4" fontId="37" fillId="0" borderId="1" xfId="43" applyNumberFormat="1" applyFont="1" applyBorder="1" applyAlignment="1">
      <alignment wrapText="1"/>
    </xf>
    <xf numFmtId="0" fontId="25" fillId="0" borderId="1" xfId="41" applyFont="1" applyBorder="1" applyAlignment="1">
      <alignment wrapText="1"/>
    </xf>
    <xf numFmtId="0" fontId="17" fillId="0" borderId="2" xfId="41" applyFont="1" applyBorder="1" applyAlignment="1">
      <alignment horizontal="center"/>
    </xf>
    <xf numFmtId="0" fontId="14" fillId="0" borderId="1" xfId="41" applyFont="1" applyBorder="1" applyAlignment="1">
      <alignment horizontal="left" vertical="top" wrapText="1"/>
    </xf>
    <xf numFmtId="0" fontId="14" fillId="0" borderId="1" xfId="41" applyFont="1" applyBorder="1" applyAlignment="1">
      <alignment horizontal="left" vertical="center" wrapText="1"/>
    </xf>
    <xf numFmtId="0" fontId="80" fillId="0" borderId="1" xfId="43" applyFont="1" applyBorder="1" applyAlignment="1">
      <alignment horizontal="center" wrapText="1"/>
    </xf>
    <xf numFmtId="4" fontId="81" fillId="0" borderId="1" xfId="43" applyNumberFormat="1" applyFont="1" applyBorder="1" applyAlignment="1">
      <alignment wrapText="1"/>
    </xf>
    <xf numFmtId="0" fontId="71" fillId="0" borderId="2" xfId="41" applyFont="1" applyBorder="1" applyAlignment="1">
      <alignment horizontal="center"/>
    </xf>
    <xf numFmtId="0" fontId="18" fillId="0" borderId="1" xfId="41" applyBorder="1" applyAlignment="1">
      <alignment wrapText="1"/>
    </xf>
    <xf numFmtId="4" fontId="26" fillId="0" borderId="3" xfId="45" applyNumberFormat="1" applyFont="1" applyBorder="1" applyAlignment="1" applyProtection="1">
      <alignment vertical="center" wrapText="1"/>
    </xf>
    <xf numFmtId="0" fontId="70" fillId="0" borderId="1" xfId="41" applyFont="1" applyBorder="1"/>
    <xf numFmtId="0" fontId="70" fillId="8" borderId="2" xfId="41" applyFont="1" applyFill="1" applyBorder="1" applyAlignment="1">
      <alignment horizontal="center"/>
    </xf>
    <xf numFmtId="0" fontId="70" fillId="8" borderId="1" xfId="41" applyFont="1" applyFill="1" applyBorder="1"/>
    <xf numFmtId="4" fontId="70" fillId="8" borderId="1" xfId="41" applyNumberFormat="1" applyFont="1" applyFill="1" applyBorder="1"/>
    <xf numFmtId="0" fontId="18" fillId="0" borderId="2" xfId="41" applyBorder="1"/>
    <xf numFmtId="4" fontId="23" fillId="0" borderId="3" xfId="41" applyNumberFormat="1" applyFont="1" applyBorder="1"/>
    <xf numFmtId="0" fontId="82" fillId="0" borderId="1" xfId="41" applyFont="1" applyBorder="1"/>
    <xf numFmtId="0" fontId="82" fillId="0" borderId="1" xfId="41" applyFont="1" applyBorder="1" applyAlignment="1">
      <alignment wrapText="1"/>
    </xf>
    <xf numFmtId="4" fontId="31" fillId="0" borderId="5" xfId="41" applyNumberFormat="1" applyFont="1" applyBorder="1" applyProtection="1">
      <protection locked="0"/>
    </xf>
    <xf numFmtId="4" fontId="70" fillId="0" borderId="1" xfId="41" applyNumberFormat="1" applyFont="1" applyBorder="1" applyProtection="1">
      <protection locked="0"/>
    </xf>
    <xf numFmtId="4" fontId="71" fillId="8" borderId="1" xfId="41" applyNumberFormat="1" applyFont="1" applyFill="1" applyBorder="1" applyProtection="1">
      <protection locked="0"/>
    </xf>
    <xf numFmtId="4" fontId="73" fillId="0" borderId="1" xfId="41" applyNumberFormat="1" applyFont="1" applyBorder="1" applyProtection="1">
      <protection locked="0"/>
    </xf>
    <xf numFmtId="4" fontId="22" fillId="0" borderId="1" xfId="44" applyNumberFormat="1" applyFont="1" applyBorder="1" applyAlignment="1" applyProtection="1">
      <alignment vertical="center" wrapText="1" readingOrder="1"/>
      <protection locked="0"/>
    </xf>
    <xf numFmtId="4" fontId="14" fillId="0" borderId="1" xfId="45" applyNumberFormat="1" applyFont="1" applyBorder="1" applyAlignment="1" applyProtection="1">
      <alignment vertical="center" wrapText="1" readingOrder="1"/>
      <protection locked="0"/>
    </xf>
    <xf numFmtId="4" fontId="38" fillId="0" borderId="1" xfId="44" applyNumberFormat="1" applyFont="1" applyBorder="1" applyAlignment="1" applyProtection="1">
      <alignment vertical="center" wrapText="1" readingOrder="1"/>
      <protection locked="0"/>
    </xf>
    <xf numFmtId="4" fontId="76" fillId="0" borderId="1" xfId="45" applyNumberFormat="1" applyFont="1" applyBorder="1" applyAlignment="1" applyProtection="1">
      <alignment vertical="center" wrapText="1" readingOrder="1"/>
      <protection locked="0"/>
    </xf>
    <xf numFmtId="4" fontId="65" fillId="0" borderId="1" xfId="45" applyNumberFormat="1" applyFont="1" applyBorder="1" applyAlignment="1" applyProtection="1">
      <alignment vertical="center" wrapText="1" readingOrder="1"/>
      <protection locked="0"/>
    </xf>
    <xf numFmtId="4" fontId="37" fillId="0" borderId="1" xfId="45" applyNumberFormat="1" applyFont="1" applyBorder="1" applyAlignment="1" applyProtection="1">
      <alignment vertical="center" wrapText="1" readingOrder="1"/>
      <protection locked="0"/>
    </xf>
    <xf numFmtId="4" fontId="14" fillId="0" borderId="1" xfId="43" applyNumberFormat="1" applyFont="1" applyBorder="1" applyAlignment="1" applyProtection="1">
      <alignment wrapText="1"/>
      <protection locked="0"/>
    </xf>
    <xf numFmtId="4" fontId="18" fillId="0" borderId="1" xfId="41" applyNumberFormat="1" applyBorder="1" applyProtection="1">
      <protection locked="0"/>
    </xf>
    <xf numFmtId="4" fontId="70" fillId="8" borderId="1" xfId="41" applyNumberFormat="1" applyFont="1" applyFill="1" applyBorder="1" applyProtection="1">
      <protection locked="0"/>
    </xf>
    <xf numFmtId="0" fontId="164" fillId="0" borderId="0" xfId="79" applyFont="1"/>
    <xf numFmtId="0" fontId="18" fillId="0" borderId="0" xfId="41" applyAlignment="1">
      <alignment vertical="top" wrapText="1"/>
    </xf>
    <xf numFmtId="4" fontId="165" fillId="0" borderId="0" xfId="80" applyNumberFormat="1" applyFont="1" applyAlignment="1">
      <alignment horizontal="justify" vertical="center"/>
    </xf>
    <xf numFmtId="4" fontId="166" fillId="0" borderId="0" xfId="80" applyNumberFormat="1" applyFont="1" applyAlignment="1">
      <alignment horizontal="justify" vertical="center"/>
    </xf>
    <xf numFmtId="49" fontId="166" fillId="0" borderId="0" xfId="80" applyNumberFormat="1" applyFont="1" applyAlignment="1">
      <alignment horizontal="justify" vertical="top" wrapText="1"/>
    </xf>
    <xf numFmtId="49" fontId="165" fillId="0" borderId="0" xfId="80" applyNumberFormat="1" applyFont="1" applyAlignment="1">
      <alignment horizontal="justify" vertical="top"/>
    </xf>
    <xf numFmtId="0" fontId="164" fillId="0" borderId="0" xfId="79" applyFont="1" applyAlignment="1">
      <alignment wrapText="1"/>
    </xf>
    <xf numFmtId="49" fontId="165" fillId="0" borderId="0" xfId="80" applyNumberFormat="1" applyFont="1" applyAlignment="1">
      <alignment horizontal="justify" vertical="top" wrapText="1"/>
    </xf>
    <xf numFmtId="49" fontId="165" fillId="0" borderId="0" xfId="80" applyNumberFormat="1" applyFont="1" applyAlignment="1">
      <alignment horizontal="left" vertical="top" wrapText="1"/>
    </xf>
    <xf numFmtId="0" fontId="165" fillId="0" borderId="0" xfId="81" applyFont="1" applyAlignment="1">
      <alignment horizontal="justify" vertical="top" wrapText="1"/>
    </xf>
    <xf numFmtId="0" fontId="165" fillId="0" borderId="0" xfId="80" applyFont="1" applyAlignment="1">
      <alignment horizontal="justify" vertical="top" wrapText="1"/>
    </xf>
    <xf numFmtId="49" fontId="167" fillId="0" borderId="0" xfId="80" applyNumberFormat="1" applyFont="1" applyAlignment="1">
      <alignment horizontal="justify" vertical="top"/>
    </xf>
    <xf numFmtId="49" fontId="167" fillId="0" borderId="0" xfId="80" applyNumberFormat="1" applyFont="1" applyAlignment="1">
      <alignment horizontal="justify" vertical="top" wrapText="1"/>
    </xf>
    <xf numFmtId="0" fontId="165" fillId="0" borderId="0" xfId="80" applyFont="1" applyAlignment="1">
      <alignment horizontal="justify" vertical="top"/>
    </xf>
    <xf numFmtId="49" fontId="166" fillId="0" borderId="0" xfId="80" applyNumberFormat="1" applyFont="1" applyAlignment="1">
      <alignment horizontal="justify" vertical="center" wrapText="1"/>
    </xf>
    <xf numFmtId="0" fontId="166" fillId="0" borderId="0" xfId="80" applyFont="1" applyAlignment="1">
      <alignment horizontal="justify" vertical="top"/>
    </xf>
    <xf numFmtId="0" fontId="164" fillId="0" borderId="0" xfId="79" applyFont="1" applyAlignment="1">
      <alignment horizontal="right" indent="1"/>
    </xf>
    <xf numFmtId="0" fontId="186" fillId="0" borderId="9" xfId="83" applyFont="1" applyBorder="1" applyAlignment="1">
      <alignment horizontal="center" vertical="top" wrapText="1"/>
    </xf>
    <xf numFmtId="49" fontId="186" fillId="0" borderId="9" xfId="83" applyNumberFormat="1" applyFont="1" applyBorder="1" applyAlignment="1">
      <alignment horizontal="center" vertical="top" wrapText="1"/>
    </xf>
    <xf numFmtId="0" fontId="187" fillId="0" borderId="9" xfId="83" applyFont="1" applyBorder="1" applyAlignment="1">
      <alignment horizontal="center" vertical="top" wrapText="1"/>
    </xf>
    <xf numFmtId="49" fontId="164" fillId="0" borderId="0" xfId="84" applyNumberFormat="1" applyFont="1" applyAlignment="1">
      <alignment horizontal="left" vertical="top" wrapText="1"/>
    </xf>
    <xf numFmtId="49" fontId="166" fillId="0" borderId="0" xfId="84" applyNumberFormat="1" applyFont="1" applyAlignment="1">
      <alignment horizontal="left" vertical="top" wrapText="1"/>
    </xf>
    <xf numFmtId="0" fontId="164" fillId="0" borderId="0" xfId="84" applyFont="1" applyAlignment="1">
      <alignment horizontal="justify" vertical="top" wrapText="1"/>
    </xf>
    <xf numFmtId="0" fontId="164" fillId="0" borderId="0" xfId="84" applyFont="1" applyAlignment="1">
      <alignment horizontal="left" vertical="top" wrapText="1"/>
    </xf>
    <xf numFmtId="0" fontId="172" fillId="0" borderId="0" xfId="87" applyAlignment="1">
      <alignment wrapText="1"/>
    </xf>
    <xf numFmtId="4" fontId="164" fillId="0" borderId="0" xfId="84" applyNumberFormat="1" applyFont="1" applyAlignment="1">
      <alignment horizontal="right" wrapText="1"/>
    </xf>
    <xf numFmtId="209" fontId="164" fillId="0" borderId="0" xfId="84" applyNumberFormat="1" applyFont="1" applyAlignment="1">
      <alignment horizontal="right" wrapText="1"/>
    </xf>
    <xf numFmtId="49" fontId="164" fillId="0" borderId="0" xfId="84" applyNumberFormat="1" applyFont="1" applyAlignment="1">
      <alignment horizontal="right" vertical="top" wrapText="1"/>
    </xf>
    <xf numFmtId="2" fontId="164" fillId="0" borderId="0" xfId="87" applyNumberFormat="1" applyFont="1" applyAlignment="1">
      <alignment horizontal="right" wrapText="1"/>
    </xf>
    <xf numFmtId="4" fontId="164" fillId="0" borderId="27" xfId="87" applyNumberFormat="1" applyFont="1" applyBorder="1" applyAlignment="1">
      <alignment horizontal="right" wrapText="1"/>
    </xf>
    <xf numFmtId="4" fontId="164" fillId="0" borderId="0" xfId="87" applyNumberFormat="1" applyFont="1" applyAlignment="1">
      <alignment horizontal="right" wrapText="1"/>
    </xf>
    <xf numFmtId="49" fontId="188" fillId="0" borderId="0" xfId="84" applyNumberFormat="1" applyFont="1" applyAlignment="1">
      <alignment horizontal="left" vertical="top" wrapText="1"/>
    </xf>
    <xf numFmtId="0" fontId="164" fillId="0" borderId="0" xfId="87" applyFont="1" applyAlignment="1">
      <alignment horizontal="left" vertical="top" wrapText="1"/>
    </xf>
    <xf numFmtId="49" fontId="164" fillId="0" borderId="0" xfId="84" applyNumberFormat="1" applyFont="1" applyAlignment="1">
      <alignment horizontal="center" vertical="top" wrapText="1"/>
    </xf>
    <xf numFmtId="49" fontId="165" fillId="0" borderId="0" xfId="84" applyNumberFormat="1" applyFont="1" applyAlignment="1">
      <alignment horizontal="left" vertical="top" wrapText="1"/>
    </xf>
    <xf numFmtId="49" fontId="164" fillId="0" borderId="0" xfId="84" applyNumberFormat="1" applyFont="1" applyAlignment="1">
      <alignment horizontal="justify" vertical="top" wrapText="1"/>
    </xf>
    <xf numFmtId="0" fontId="172" fillId="0" borderId="0" xfId="87">
      <alignment vertical="top" wrapText="1"/>
    </xf>
    <xf numFmtId="4" fontId="189" fillId="0" borderId="0" xfId="41" applyNumberFormat="1" applyFont="1" applyAlignment="1">
      <alignment horizontal="left" vertical="center" wrapText="1"/>
    </xf>
    <xf numFmtId="4" fontId="190" fillId="0" borderId="0" xfId="41" applyNumberFormat="1" applyFont="1" applyAlignment="1">
      <alignment horizontal="center"/>
    </xf>
    <xf numFmtId="210" fontId="190" fillId="0" borderId="0" xfId="89" applyNumberFormat="1" applyFont="1" applyBorder="1" applyAlignment="1" applyProtection="1">
      <alignment horizontal="center"/>
    </xf>
    <xf numFmtId="165" fontId="190" fillId="0" borderId="0" xfId="89" applyFont="1" applyBorder="1" applyAlignment="1" applyProtection="1"/>
    <xf numFmtId="4" fontId="190" fillId="0" borderId="0" xfId="41" applyNumberFormat="1" applyFont="1" applyAlignment="1">
      <alignment horizontal="left" vertical="top"/>
    </xf>
    <xf numFmtId="4" fontId="190" fillId="0" borderId="0" xfId="90" applyNumberFormat="1" applyFont="1" applyAlignment="1">
      <alignment horizontal="justify" vertical="top" wrapText="1"/>
    </xf>
    <xf numFmtId="4" fontId="190" fillId="0" borderId="0" xfId="90" applyNumberFormat="1" applyFont="1" applyAlignment="1">
      <alignment horizontal="center"/>
    </xf>
    <xf numFmtId="0" fontId="191" fillId="0" borderId="0" xfId="92" applyFont="1" applyAlignment="1">
      <alignment horizontal="justify" vertical="top"/>
    </xf>
    <xf numFmtId="211" fontId="190" fillId="0" borderId="0" xfId="89" applyNumberFormat="1" applyFont="1" applyBorder="1" applyAlignment="1" applyProtection="1"/>
    <xf numFmtId="0" fontId="190" fillId="0" borderId="0" xfId="41" applyFont="1" applyAlignment="1">
      <alignment horizontal="justify" vertical="top" wrapText="1"/>
    </xf>
    <xf numFmtId="4" fontId="190" fillId="0" borderId="0" xfId="41" applyNumberFormat="1" applyFont="1" applyAlignment="1">
      <alignment horizontal="left" vertical="top" wrapText="1"/>
    </xf>
    <xf numFmtId="4" fontId="190" fillId="0" borderId="0" xfId="41" applyNumberFormat="1" applyFont="1" applyAlignment="1">
      <alignment horizontal="center" vertical="center"/>
    </xf>
    <xf numFmtId="210" fontId="190" fillId="0" borderId="0" xfId="93" applyNumberFormat="1" applyFont="1" applyBorder="1" applyAlignment="1" applyProtection="1">
      <alignment horizontal="center"/>
    </xf>
    <xf numFmtId="211" fontId="190" fillId="0" borderId="0" xfId="93" applyNumberFormat="1" applyFont="1" applyBorder="1" applyAlignment="1" applyProtection="1">
      <alignment horizontal="center"/>
    </xf>
    <xf numFmtId="43" fontId="190" fillId="0" borderId="0" xfId="93" applyFont="1" applyBorder="1" applyAlignment="1" applyProtection="1">
      <alignment horizontal="center"/>
    </xf>
    <xf numFmtId="4" fontId="190" fillId="0" borderId="0" xfId="90" applyNumberFormat="1" applyFont="1" applyAlignment="1">
      <alignment horizontal="center" vertical="center"/>
    </xf>
    <xf numFmtId="49" fontId="190" fillId="0" borderId="0" xfId="41" applyNumberFormat="1" applyFont="1" applyAlignment="1">
      <alignment horizontal="left" vertical="top"/>
    </xf>
    <xf numFmtId="211" fontId="190" fillId="0" borderId="0" xfId="89" applyNumberFormat="1" applyFont="1" applyBorder="1" applyAlignment="1" applyProtection="1">
      <alignment horizontal="right"/>
    </xf>
    <xf numFmtId="165" fontId="190" fillId="0" borderId="0" xfId="89" applyFont="1" applyBorder="1" applyAlignment="1" applyProtection="1">
      <alignment horizontal="right"/>
    </xf>
    <xf numFmtId="49" fontId="164" fillId="0" borderId="0" xfId="94" applyNumberFormat="1" applyFont="1" applyAlignment="1">
      <alignment horizontal="left" vertical="top" wrapText="1"/>
    </xf>
    <xf numFmtId="0" fontId="192" fillId="0" borderId="0" xfId="80" applyFont="1" applyAlignment="1">
      <alignment horizontal="justify" vertical="top" wrapText="1"/>
    </xf>
    <xf numFmtId="0" fontId="164" fillId="0" borderId="0" xfId="95" applyFont="1" applyAlignment="1">
      <alignment horizontal="center" wrapText="1"/>
    </xf>
    <xf numFmtId="209" fontId="164" fillId="0" borderId="0" xfId="95" applyNumberFormat="1" applyFont="1" applyAlignment="1">
      <alignment horizontal="center" wrapText="1"/>
    </xf>
    <xf numFmtId="4" fontId="164" fillId="0" borderId="0" xfId="95" applyNumberFormat="1" applyFont="1" applyAlignment="1">
      <alignment horizontal="right" wrapText="1"/>
    </xf>
    <xf numFmtId="49" fontId="193" fillId="0" borderId="0" xfId="94" applyNumberFormat="1" applyFont="1" applyAlignment="1">
      <alignment horizontal="left" vertical="top" wrapText="1"/>
    </xf>
    <xf numFmtId="0" fontId="192" fillId="0" borderId="0" xfId="96" applyFont="1" applyAlignment="1">
      <alignment horizontal="center" wrapText="1"/>
    </xf>
    <xf numFmtId="4" fontId="168" fillId="0" borderId="0" xfId="94" applyNumberFormat="1" applyFont="1" applyAlignment="1">
      <alignment horizontal="center" wrapText="1"/>
    </xf>
    <xf numFmtId="4" fontId="193" fillId="0" borderId="0" xfId="97" applyNumberFormat="1" applyFont="1" applyAlignment="1">
      <alignment horizontal="right" wrapText="1"/>
    </xf>
    <xf numFmtId="4" fontId="168" fillId="0" borderId="0" xfId="94" applyNumberFormat="1" applyFont="1" applyAlignment="1">
      <alignment horizontal="right" wrapText="1"/>
    </xf>
    <xf numFmtId="49" fontId="170" fillId="0" borderId="0" xfId="41" quotePrefix="1" applyNumberFormat="1" applyFont="1" applyAlignment="1">
      <alignment horizontal="left" vertical="top"/>
    </xf>
    <xf numFmtId="0" fontId="194" fillId="0" borderId="0" xfId="41" applyFont="1" applyAlignment="1">
      <alignment horizontal="justify" vertical="top" wrapText="1"/>
    </xf>
    <xf numFmtId="0" fontId="164" fillId="0" borderId="0" xfId="84" applyFont="1" applyAlignment="1">
      <alignment horizontal="left" wrapText="1"/>
    </xf>
    <xf numFmtId="0" fontId="190" fillId="0" borderId="0" xfId="98" applyFont="1" applyAlignment="1">
      <alignment horizontal="justify" vertical="top"/>
    </xf>
    <xf numFmtId="211" fontId="190" fillId="0" borderId="0" xfId="93" applyNumberFormat="1" applyFont="1" applyBorder="1" applyAlignment="1" applyProtection="1">
      <alignment horizontal="right"/>
    </xf>
    <xf numFmtId="43" fontId="190" fillId="0" borderId="0" xfId="93" applyFont="1" applyBorder="1" applyAlignment="1" applyProtection="1">
      <alignment horizontal="right"/>
    </xf>
    <xf numFmtId="4" fontId="190" fillId="0" borderId="0" xfId="41" applyNumberFormat="1" applyFont="1" applyAlignment="1">
      <alignment horizontal="justify" vertical="top" wrapText="1"/>
    </xf>
    <xf numFmtId="0" fontId="164" fillId="0" borderId="0" xfId="84" applyFont="1" applyAlignment="1">
      <alignment horizontal="center" wrapText="1"/>
    </xf>
    <xf numFmtId="4" fontId="164" fillId="0" borderId="0" xfId="84" applyNumberFormat="1" applyFont="1" applyAlignment="1">
      <alignment horizontal="center" wrapText="1"/>
    </xf>
    <xf numFmtId="4" fontId="164" fillId="0" borderId="27" xfId="99" applyNumberFormat="1" applyFont="1" applyBorder="1" applyAlignment="1">
      <alignment horizontal="right"/>
    </xf>
    <xf numFmtId="49" fontId="164" fillId="0" borderId="44" xfId="87" applyNumberFormat="1" applyFont="1" applyBorder="1" applyAlignment="1">
      <alignment horizontal="left" vertical="top" wrapText="1"/>
    </xf>
    <xf numFmtId="0" fontId="164" fillId="0" borderId="44" xfId="87" applyFont="1" applyBorder="1" applyAlignment="1">
      <alignment horizontal="left" vertical="top" wrapText="1"/>
    </xf>
    <xf numFmtId="0" fontId="164" fillId="0" borderId="44" xfId="87" applyFont="1" applyBorder="1" applyAlignment="1">
      <alignment horizontal="right" vertical="top" wrapText="1"/>
    </xf>
    <xf numFmtId="0" fontId="168" fillId="9" borderId="45" xfId="84" applyFont="1" applyFill="1" applyBorder="1" applyAlignment="1">
      <alignment horizontal="left" vertical="top" wrapText="1"/>
    </xf>
    <xf numFmtId="4" fontId="169" fillId="11" borderId="44" xfId="87" applyNumberFormat="1" applyFont="1" applyFill="1" applyBorder="1">
      <alignment vertical="top" wrapText="1"/>
    </xf>
    <xf numFmtId="0" fontId="169" fillId="11" borderId="44" xfId="87" applyFont="1" applyFill="1" applyBorder="1">
      <alignment vertical="top" wrapText="1"/>
    </xf>
    <xf numFmtId="0" fontId="169" fillId="11" borderId="44" xfId="100" applyFont="1" applyFill="1" applyBorder="1">
      <alignment vertical="top" wrapText="1"/>
    </xf>
    <xf numFmtId="204" fontId="195" fillId="11" borderId="46" xfId="80" applyNumberFormat="1" applyFont="1" applyFill="1" applyBorder="1" applyAlignment="1">
      <alignment vertical="top" wrapText="1"/>
    </xf>
    <xf numFmtId="4" fontId="170" fillId="0" borderId="0" xfId="41" quotePrefix="1" applyNumberFormat="1" applyFont="1" applyAlignment="1">
      <alignment horizontal="center" vertical="top"/>
    </xf>
    <xf numFmtId="0" fontId="179" fillId="0" borderId="0" xfId="41" applyFont="1" applyAlignment="1">
      <alignment horizontal="justify" vertical="center" wrapText="1"/>
    </xf>
    <xf numFmtId="208" fontId="196" fillId="0" borderId="0" xfId="41" applyNumberFormat="1" applyFont="1" applyAlignment="1">
      <alignment horizontal="justify" vertical="center"/>
    </xf>
    <xf numFmtId="4" fontId="129" fillId="0" borderId="0" xfId="41" applyNumberFormat="1" applyFont="1" applyAlignment="1">
      <alignment horizontal="justify" vertical="center" wrapText="1"/>
    </xf>
    <xf numFmtId="0" fontId="197" fillId="0" borderId="0" xfId="41" applyFont="1" applyAlignment="1">
      <alignment horizontal="justify"/>
    </xf>
    <xf numFmtId="0" fontId="198" fillId="0" borderId="0" xfId="41" applyFont="1" applyAlignment="1">
      <alignment horizontal="justify" vertical="center" wrapText="1"/>
    </xf>
    <xf numFmtId="4" fontId="170" fillId="0" borderId="0" xfId="41" applyNumberFormat="1" applyFont="1" applyAlignment="1">
      <alignment horizontal="justify" vertical="top"/>
    </xf>
    <xf numFmtId="208" fontId="136" fillId="0" borderId="0" xfId="86" applyNumberFormat="1" applyFont="1" applyBorder="1" applyAlignment="1" applyProtection="1">
      <alignment horizontal="justify" vertical="center"/>
    </xf>
    <xf numFmtId="4" fontId="164" fillId="0" borderId="0" xfId="88" applyNumberFormat="1" applyFont="1" applyAlignment="1" applyProtection="1">
      <alignment horizontal="right" wrapText="1"/>
      <protection locked="0"/>
    </xf>
    <xf numFmtId="0" fontId="18" fillId="0" borderId="0" xfId="41" applyAlignment="1" applyProtection="1">
      <alignment horizontal="justify"/>
      <protection locked="0"/>
    </xf>
    <xf numFmtId="209" fontId="164" fillId="0" borderId="0" xfId="84" applyNumberFormat="1" applyFont="1" applyAlignment="1" applyProtection="1">
      <alignment horizontal="right" wrapText="1"/>
      <protection locked="0"/>
    </xf>
    <xf numFmtId="0" fontId="170" fillId="0" borderId="0" xfId="41" applyFont="1" applyProtection="1">
      <protection locked="0"/>
    </xf>
    <xf numFmtId="0" fontId="180" fillId="0" borderId="0" xfId="41" applyFont="1" applyAlignment="1" applyProtection="1">
      <alignment horizontal="justify"/>
      <protection locked="0"/>
    </xf>
    <xf numFmtId="4" fontId="164" fillId="0" borderId="0" xfId="84" applyNumberFormat="1" applyFont="1" applyAlignment="1" applyProtection="1">
      <alignment horizontal="right" wrapText="1"/>
      <protection locked="0"/>
    </xf>
    <xf numFmtId="165" fontId="190" fillId="0" borderId="0" xfId="89" applyFont="1" applyFill="1" applyBorder="1" applyAlignment="1" applyProtection="1">
      <alignment horizontal="center"/>
      <protection locked="0"/>
    </xf>
    <xf numFmtId="211" fontId="190" fillId="0" borderId="0" xfId="89" applyNumberFormat="1" applyFont="1" applyBorder="1" applyAlignment="1" applyProtection="1">
      <alignment horizontal="center"/>
      <protection locked="0"/>
    </xf>
    <xf numFmtId="211" fontId="190" fillId="0" borderId="0" xfId="93" applyNumberFormat="1" applyFont="1" applyBorder="1" applyAlignment="1" applyProtection="1">
      <alignment horizontal="center"/>
      <protection locked="0"/>
    </xf>
    <xf numFmtId="43" fontId="190" fillId="0" borderId="0" xfId="93" applyFont="1" applyFill="1" applyBorder="1" applyAlignment="1" applyProtection="1">
      <alignment horizontal="center"/>
      <protection locked="0"/>
    </xf>
    <xf numFmtId="4" fontId="164" fillId="0" borderId="0" xfId="95" applyNumberFormat="1" applyFont="1" applyAlignment="1" applyProtection="1">
      <alignment horizontal="center" wrapText="1"/>
      <protection locked="0"/>
    </xf>
    <xf numFmtId="4" fontId="168" fillId="0" borderId="0" xfId="94" applyNumberFormat="1" applyFont="1" applyAlignment="1" applyProtection="1">
      <alignment horizontal="center" wrapText="1"/>
      <protection locked="0"/>
    </xf>
    <xf numFmtId="211" fontId="190" fillId="0" borderId="0" xfId="93" applyNumberFormat="1" applyFont="1" applyFill="1" applyBorder="1" applyAlignment="1" applyProtection="1">
      <alignment horizontal="center"/>
      <protection locked="0"/>
    </xf>
    <xf numFmtId="0" fontId="164" fillId="0" borderId="44" xfId="87" applyFont="1" applyBorder="1" applyAlignment="1" applyProtection="1">
      <alignment horizontal="right" vertical="top" wrapText="1"/>
      <protection locked="0"/>
    </xf>
    <xf numFmtId="0" fontId="169" fillId="11" borderId="44" xfId="100" applyFont="1" applyFill="1" applyBorder="1" applyProtection="1">
      <alignment vertical="top" wrapText="1"/>
      <protection locked="0"/>
    </xf>
    <xf numFmtId="3" fontId="170" fillId="0" borderId="0" xfId="41" applyNumberFormat="1" applyFont="1" applyAlignment="1" applyProtection="1">
      <alignment horizontal="center" vertical="center"/>
      <protection locked="0"/>
    </xf>
    <xf numFmtId="49" fontId="164" fillId="0" borderId="9" xfId="83" applyNumberFormat="1" applyFont="1" applyBorder="1" applyAlignment="1">
      <alignment horizontal="center" vertical="top" wrapText="1"/>
    </xf>
    <xf numFmtId="49" fontId="164" fillId="0" borderId="0" xfId="100" applyNumberFormat="1" applyFont="1" applyAlignment="1">
      <alignment horizontal="left" vertical="top" wrapText="1"/>
    </xf>
    <xf numFmtId="0" fontId="172" fillId="0" borderId="0" xfId="100">
      <alignment vertical="top" wrapText="1"/>
    </xf>
    <xf numFmtId="0" fontId="172" fillId="0" borderId="0" xfId="100" applyAlignment="1">
      <alignment wrapText="1"/>
    </xf>
    <xf numFmtId="4" fontId="199" fillId="0" borderId="0" xfId="41" applyNumberFormat="1" applyFont="1" applyAlignment="1">
      <alignment horizontal="left" vertical="center" wrapText="1"/>
    </xf>
    <xf numFmtId="4" fontId="200" fillId="0" borderId="0" xfId="41" applyNumberFormat="1" applyFont="1" applyAlignment="1">
      <alignment horizontal="center"/>
    </xf>
    <xf numFmtId="210" fontId="200" fillId="0" borderId="0" xfId="89" applyNumberFormat="1" applyFont="1" applyBorder="1" applyAlignment="1" applyProtection="1">
      <alignment horizontal="center"/>
    </xf>
    <xf numFmtId="165" fontId="200" fillId="0" borderId="0" xfId="89" applyFont="1" applyFill="1" applyBorder="1" applyAlignment="1" applyProtection="1">
      <alignment horizontal="center"/>
    </xf>
    <xf numFmtId="165" fontId="200" fillId="0" borderId="0" xfId="89" applyFont="1" applyBorder="1" applyAlignment="1" applyProtection="1"/>
    <xf numFmtId="4" fontId="200" fillId="0" borderId="0" xfId="41" applyNumberFormat="1" applyFont="1" applyAlignment="1">
      <alignment horizontal="justify" vertical="top" wrapText="1"/>
    </xf>
    <xf numFmtId="4" fontId="200" fillId="0" borderId="0" xfId="41" applyNumberFormat="1" applyFont="1"/>
    <xf numFmtId="211" fontId="200" fillId="0" borderId="0" xfId="89" applyNumberFormat="1" applyFont="1" applyBorder="1" applyAlignment="1" applyProtection="1"/>
    <xf numFmtId="0" fontId="201" fillId="0" borderId="0" xfId="92" applyFont="1" applyAlignment="1">
      <alignment horizontal="justify" vertical="top"/>
    </xf>
    <xf numFmtId="4" fontId="200" fillId="0" borderId="0" xfId="41" applyNumberFormat="1" applyFont="1" applyAlignment="1">
      <alignment horizontal="left" vertical="top" wrapText="1"/>
    </xf>
    <xf numFmtId="0" fontId="164" fillId="0" borderId="0" xfId="88" applyFont="1" applyAlignment="1">
      <alignment vertical="top" wrapText="1"/>
    </xf>
    <xf numFmtId="2" fontId="165" fillId="0" borderId="0" xfId="81" applyNumberFormat="1" applyFont="1" applyAlignment="1">
      <alignment horizontal="right" wrapText="1"/>
    </xf>
    <xf numFmtId="4" fontId="164" fillId="0" borderId="27" xfId="99" applyNumberFormat="1" applyFont="1" applyBorder="1" applyAlignment="1"/>
    <xf numFmtId="4" fontId="175" fillId="0" borderId="0" xfId="41" applyNumberFormat="1" applyFont="1" applyAlignment="1">
      <alignment vertical="center"/>
    </xf>
    <xf numFmtId="4" fontId="175" fillId="0" borderId="0" xfId="41" applyNumberFormat="1" applyFont="1" applyAlignment="1">
      <alignment horizontal="justify"/>
    </xf>
    <xf numFmtId="4" fontId="176" fillId="0" borderId="0" xfId="41" applyNumberFormat="1" applyFont="1" applyAlignment="1">
      <alignment horizontal="justify"/>
    </xf>
    <xf numFmtId="49" fontId="188" fillId="0" borderId="0" xfId="100" applyNumberFormat="1" applyFont="1" applyAlignment="1">
      <alignment horizontal="left" vertical="top" wrapText="1"/>
    </xf>
    <xf numFmtId="4" fontId="202" fillId="0" borderId="0" xfId="94" applyNumberFormat="1" applyFont="1" applyAlignment="1">
      <alignment horizontal="right" wrapText="1"/>
    </xf>
    <xf numFmtId="0" fontId="164" fillId="0" borderId="0" xfId="94" applyFont="1" applyAlignment="1">
      <alignment vertical="top" wrapText="1"/>
    </xf>
    <xf numFmtId="4" fontId="165" fillId="0" borderId="0" xfId="100" applyNumberFormat="1" applyFont="1" applyAlignment="1">
      <alignment horizontal="right" wrapText="1"/>
    </xf>
    <xf numFmtId="0" fontId="165" fillId="0" borderId="0" xfId="94" applyFont="1" applyAlignment="1">
      <alignment vertical="top" wrapText="1"/>
    </xf>
    <xf numFmtId="4" fontId="165" fillId="0" borderId="21" xfId="99" applyNumberFormat="1" applyFont="1" applyBorder="1" applyAlignment="1"/>
    <xf numFmtId="0" fontId="23" fillId="0" borderId="0" xfId="41" applyFont="1" applyAlignment="1">
      <alignment horizontal="justify"/>
    </xf>
    <xf numFmtId="0" fontId="203" fillId="0" borderId="0" xfId="41" applyFont="1" applyAlignment="1">
      <alignment horizontal="justify"/>
    </xf>
    <xf numFmtId="4" fontId="165" fillId="0" borderId="27" xfId="99" applyNumberFormat="1" applyFont="1" applyBorder="1" applyAlignment="1"/>
    <xf numFmtId="49" fontId="165" fillId="0" borderId="0" xfId="101" applyNumberFormat="1" applyFont="1" applyAlignment="1">
      <alignment horizontal="left" vertical="top" wrapText="1"/>
    </xf>
    <xf numFmtId="4" fontId="165" fillId="0" borderId="0" xfId="101" applyNumberFormat="1" applyFont="1" applyAlignment="1">
      <alignment horizontal="right" wrapText="1"/>
    </xf>
    <xf numFmtId="4" fontId="164" fillId="0" borderId="0" xfId="101" applyNumberFormat="1" applyFont="1" applyAlignment="1">
      <alignment horizontal="right" wrapText="1"/>
    </xf>
    <xf numFmtId="0" fontId="166" fillId="0" borderId="0" xfId="80" applyFont="1" applyAlignment="1">
      <alignment horizontal="justify" vertical="top" wrapText="1"/>
    </xf>
    <xf numFmtId="0" fontId="180" fillId="0" borderId="0" xfId="41" applyFont="1"/>
    <xf numFmtId="49" fontId="165" fillId="0" borderId="0" xfId="101" applyNumberFormat="1" applyFont="1" applyAlignment="1">
      <alignment horizontal="justify" vertical="top" wrapText="1"/>
    </xf>
    <xf numFmtId="0" fontId="172" fillId="0" borderId="0" xfId="101">
      <alignment vertical="top" wrapText="1"/>
    </xf>
    <xf numFmtId="0" fontId="172" fillId="0" borderId="0" xfId="101" applyAlignment="1">
      <alignment wrapText="1"/>
    </xf>
    <xf numFmtId="49" fontId="164" fillId="0" borderId="0" xfId="88" applyNumberFormat="1" applyFont="1" applyAlignment="1">
      <alignment horizontal="left" vertical="top" wrapText="1"/>
    </xf>
    <xf numFmtId="4" fontId="164" fillId="0" borderId="27" xfId="101" applyNumberFormat="1" applyFont="1" applyBorder="1" applyAlignment="1">
      <alignment horizontal="right" wrapText="1"/>
    </xf>
    <xf numFmtId="0" fontId="165" fillId="0" borderId="0" xfId="88" applyFont="1" applyAlignment="1">
      <alignment vertical="top" wrapText="1"/>
    </xf>
    <xf numFmtId="0" fontId="204" fillId="0" borderId="0" xfId="41" applyFont="1"/>
    <xf numFmtId="0" fontId="166" fillId="0" borderId="0" xfId="101" applyFont="1" applyAlignment="1">
      <alignment horizontal="justify" vertical="top" wrapText="1"/>
    </xf>
    <xf numFmtId="0" fontId="192" fillId="0" borderId="0" xfId="101" applyFont="1">
      <alignment vertical="top" wrapText="1"/>
    </xf>
    <xf numFmtId="0" fontId="192" fillId="0" borderId="0" xfId="101" applyFont="1" applyAlignment="1">
      <alignment wrapText="1"/>
    </xf>
    <xf numFmtId="4" fontId="205" fillId="0" borderId="0" xfId="88" applyNumberFormat="1" applyFont="1" applyAlignment="1">
      <alignment horizontal="right" wrapText="1"/>
    </xf>
    <xf numFmtId="0" fontId="165" fillId="0" borderId="0" xfId="101" applyFont="1" applyAlignment="1">
      <alignment horizontal="justify" vertical="top" wrapText="1"/>
    </xf>
    <xf numFmtId="4" fontId="165" fillId="0" borderId="27" xfId="101" applyNumberFormat="1" applyFont="1" applyBorder="1" applyAlignment="1">
      <alignment horizontal="right" wrapText="1"/>
    </xf>
    <xf numFmtId="0" fontId="188" fillId="0" borderId="0" xfId="99" applyFont="1" applyAlignment="1">
      <alignment horizontal="justify" vertical="top"/>
    </xf>
    <xf numFmtId="0" fontId="172" fillId="0" borderId="0" xfId="99">
      <alignment vertical="top" wrapText="1"/>
    </xf>
    <xf numFmtId="2" fontId="164" fillId="0" borderId="0" xfId="99" applyNumberFormat="1" applyFont="1" applyAlignment="1"/>
    <xf numFmtId="4" fontId="202" fillId="0" borderId="0" xfId="88" applyNumberFormat="1" applyFont="1"/>
    <xf numFmtId="4" fontId="202" fillId="0" borderId="0" xfId="88" applyNumberFormat="1" applyFont="1" applyAlignment="1">
      <alignment horizontal="right" wrapText="1"/>
    </xf>
    <xf numFmtId="0" fontId="165" fillId="0" borderId="0" xfId="100" applyFont="1" applyAlignment="1">
      <alignment horizontal="justify" vertical="top" wrapText="1"/>
    </xf>
    <xf numFmtId="0" fontId="164" fillId="0" borderId="0" xfId="100" applyFont="1">
      <alignment vertical="top" wrapText="1"/>
    </xf>
    <xf numFmtId="0" fontId="164" fillId="0" borderId="0" xfId="100" applyFont="1" applyAlignment="1">
      <alignment horizontal="right" wrapText="1"/>
    </xf>
    <xf numFmtId="4" fontId="164" fillId="0" borderId="21" xfId="99" applyNumberFormat="1" applyFont="1" applyBorder="1" applyAlignment="1"/>
    <xf numFmtId="4" fontId="172" fillId="0" borderId="0" xfId="100" applyNumberFormat="1" applyAlignment="1">
      <alignment wrapText="1"/>
    </xf>
    <xf numFmtId="0" fontId="166" fillId="0" borderId="0" xfId="100" applyFont="1" applyAlignment="1">
      <alignment horizontal="left" vertical="top" wrapText="1"/>
    </xf>
    <xf numFmtId="4" fontId="190" fillId="0" borderId="0" xfId="41" applyNumberFormat="1" applyFont="1"/>
    <xf numFmtId="4" fontId="189" fillId="0" borderId="0" xfId="41" applyNumberFormat="1" applyFont="1" applyAlignment="1">
      <alignment horizontal="justify" vertical="top" wrapText="1"/>
    </xf>
    <xf numFmtId="0" fontId="164" fillId="0" borderId="0" xfId="88" applyFont="1" applyAlignment="1">
      <alignment wrapText="1"/>
    </xf>
    <xf numFmtId="4" fontId="165" fillId="0" borderId="0" xfId="100" applyNumberFormat="1" applyFont="1" applyAlignment="1">
      <alignment horizontal="center" wrapText="1"/>
    </xf>
    <xf numFmtId="4" fontId="164" fillId="0" borderId="27" xfId="99" applyNumberFormat="1" applyFont="1" applyBorder="1" applyAlignment="1">
      <alignment horizontal="center"/>
    </xf>
    <xf numFmtId="4" fontId="190" fillId="0" borderId="0" xfId="41" applyNumberFormat="1" applyFont="1" applyAlignment="1">
      <alignment vertical="center"/>
    </xf>
    <xf numFmtId="0" fontId="190" fillId="0" borderId="0" xfId="92" applyFont="1" applyAlignment="1">
      <alignment horizontal="justify" vertical="top"/>
    </xf>
    <xf numFmtId="4" fontId="164" fillId="0" borderId="0" xfId="99" applyNumberFormat="1" applyFont="1" applyAlignment="1"/>
    <xf numFmtId="210" fontId="190" fillId="0" borderId="0" xfId="89" applyNumberFormat="1" applyFont="1" applyAlignment="1" applyProtection="1">
      <alignment horizontal="center"/>
    </xf>
    <xf numFmtId="211" fontId="190" fillId="0" borderId="0" xfId="89" applyNumberFormat="1" applyFont="1" applyAlignment="1" applyProtection="1">
      <alignment horizontal="center"/>
    </xf>
    <xf numFmtId="165" fontId="190" fillId="0" borderId="0" xfId="89" applyFont="1" applyAlignment="1" applyProtection="1">
      <alignment horizontal="center"/>
    </xf>
    <xf numFmtId="0" fontId="190" fillId="0" borderId="0" xfId="92" applyFont="1" applyAlignment="1">
      <alignment horizontal="justify" vertical="top" wrapText="1"/>
    </xf>
    <xf numFmtId="0" fontId="192" fillId="0" borderId="0" xfId="102" applyFont="1" applyAlignment="1">
      <alignment horizontal="justify" vertical="top" wrapText="1"/>
    </xf>
    <xf numFmtId="0" fontId="192" fillId="0" borderId="0" xfId="103" applyFont="1" applyAlignment="1">
      <alignment horizontal="justify" vertical="top" wrapText="1"/>
    </xf>
    <xf numFmtId="0" fontId="165" fillId="0" borderId="0" xfId="88" applyFont="1" applyAlignment="1">
      <alignment wrapText="1"/>
    </xf>
    <xf numFmtId="49" fontId="165" fillId="0" borderId="0" xfId="104" applyNumberFormat="1" applyFont="1" applyAlignment="1">
      <alignment horizontal="left" vertical="top" wrapText="1"/>
    </xf>
    <xf numFmtId="0" fontId="164" fillId="0" borderId="0" xfId="88" applyFont="1" applyAlignment="1">
      <alignment horizontal="left" wrapText="1"/>
    </xf>
    <xf numFmtId="4" fontId="165" fillId="0" borderId="0" xfId="104" applyNumberFormat="1" applyFont="1" applyAlignment="1">
      <alignment horizontal="center" wrapText="1"/>
    </xf>
    <xf numFmtId="4" fontId="164" fillId="0" borderId="0" xfId="104" applyNumberFormat="1" applyFont="1" applyAlignment="1">
      <alignment horizontal="center" wrapText="1"/>
    </xf>
    <xf numFmtId="0" fontId="164" fillId="0" borderId="0" xfId="99" applyFont="1" applyAlignment="1">
      <alignment horizontal="justify" vertical="top" wrapText="1"/>
    </xf>
    <xf numFmtId="49" fontId="206" fillId="0" borderId="0" xfId="41" applyNumberFormat="1" applyFont="1" applyAlignment="1">
      <alignment horizontal="left" vertical="top"/>
    </xf>
    <xf numFmtId="0" fontId="172" fillId="0" borderId="44" xfId="100" applyBorder="1">
      <alignment vertical="top" wrapText="1"/>
    </xf>
    <xf numFmtId="4" fontId="164" fillId="0" borderId="44" xfId="100" applyNumberFormat="1" applyFont="1" applyBorder="1" applyAlignment="1">
      <alignment horizontal="right" vertical="top" wrapText="1"/>
    </xf>
    <xf numFmtId="0" fontId="168" fillId="11" borderId="11" xfId="88" applyFont="1" applyFill="1" applyBorder="1" applyAlignment="1">
      <alignment horizontal="left" vertical="top" wrapText="1"/>
    </xf>
    <xf numFmtId="0" fontId="123" fillId="0" borderId="0" xfId="41" applyFont="1" applyAlignment="1">
      <alignment horizontal="justify" vertical="top" wrapText="1"/>
    </xf>
    <xf numFmtId="0" fontId="164" fillId="0" borderId="0" xfId="95" applyFont="1" applyAlignment="1">
      <alignment horizontal="left" vertical="top" wrapText="1"/>
    </xf>
    <xf numFmtId="4" fontId="164" fillId="0" borderId="0" xfId="95" applyNumberFormat="1" applyFont="1" applyAlignment="1">
      <alignment horizontal="right" vertical="top" wrapText="1"/>
    </xf>
    <xf numFmtId="4" fontId="164" fillId="0" borderId="0" xfId="99" applyNumberFormat="1" applyFont="1" applyAlignment="1">
      <alignment vertical="justify"/>
    </xf>
    <xf numFmtId="0" fontId="207" fillId="0" borderId="0" xfId="41" applyFont="1" applyAlignment="1">
      <alignment horizontal="justify" vertical="top" wrapText="1"/>
    </xf>
    <xf numFmtId="208" fontId="136" fillId="0" borderId="0" xfId="86" applyNumberFormat="1" applyFont="1" applyFill="1" applyBorder="1" applyAlignment="1" applyProtection="1">
      <alignment horizontal="justify" vertical="center"/>
    </xf>
    <xf numFmtId="0" fontId="179" fillId="0" borderId="0" xfId="41" applyFont="1" applyAlignment="1">
      <alignment horizontal="justify" vertical="top" wrapText="1"/>
    </xf>
    <xf numFmtId="49" fontId="188" fillId="0" borderId="0" xfId="105" applyNumberFormat="1" applyFont="1" applyAlignment="1">
      <alignment vertical="justify"/>
    </xf>
    <xf numFmtId="0" fontId="164" fillId="0" borderId="0" xfId="105" applyFont="1" applyAlignment="1">
      <alignment horizontal="justify" vertical="top" wrapText="1"/>
    </xf>
    <xf numFmtId="0" fontId="164" fillId="0" borderId="0" xfId="99" applyFont="1" applyAlignment="1">
      <alignment vertical="top"/>
    </xf>
    <xf numFmtId="2" fontId="179" fillId="0" borderId="0" xfId="41" applyNumberFormat="1" applyFont="1" applyAlignment="1">
      <alignment horizontal="center" vertical="center"/>
    </xf>
    <xf numFmtId="49" fontId="188" fillId="0" borderId="0" xfId="94" applyNumberFormat="1" applyFont="1" applyAlignment="1">
      <alignment horizontal="left" vertical="top" wrapText="1"/>
    </xf>
    <xf numFmtId="0" fontId="172" fillId="0" borderId="0" xfId="106">
      <alignment vertical="top" wrapText="1"/>
    </xf>
    <xf numFmtId="0" fontId="164" fillId="0" borderId="0" xfId="106" applyFont="1" applyAlignment="1">
      <alignment horizontal="left" vertical="top" wrapText="1"/>
    </xf>
    <xf numFmtId="0" fontId="164" fillId="0" borderId="0" xfId="94" applyFont="1" applyAlignment="1">
      <alignment horizontal="left" vertical="top" wrapText="1"/>
    </xf>
    <xf numFmtId="209" fontId="164" fillId="0" borderId="0" xfId="94" applyNumberFormat="1" applyFont="1" applyAlignment="1">
      <alignment horizontal="right" vertical="top" wrapText="1"/>
    </xf>
    <xf numFmtId="4" fontId="164" fillId="0" borderId="0" xfId="94" applyNumberFormat="1" applyFont="1" applyAlignment="1">
      <alignment horizontal="right" vertical="top" wrapText="1"/>
    </xf>
    <xf numFmtId="2" fontId="164" fillId="0" borderId="0" xfId="106" applyNumberFormat="1" applyFont="1" applyAlignment="1">
      <alignment horizontal="right" vertical="top" wrapText="1"/>
    </xf>
    <xf numFmtId="0" fontId="164" fillId="0" borderId="0" xfId="88" applyFont="1" applyAlignment="1">
      <alignment horizontal="left" vertical="top" wrapText="1"/>
    </xf>
    <xf numFmtId="209" fontId="164" fillId="0" borderId="0" xfId="88" applyNumberFormat="1" applyFont="1" applyAlignment="1">
      <alignment horizontal="right" vertical="top" wrapText="1"/>
    </xf>
    <xf numFmtId="4" fontId="164" fillId="0" borderId="0" xfId="88" applyNumberFormat="1" applyFont="1" applyAlignment="1">
      <alignment horizontal="right" vertical="top" wrapText="1"/>
    </xf>
    <xf numFmtId="49" fontId="166" fillId="0" borderId="0" xfId="88" applyNumberFormat="1" applyFont="1" applyAlignment="1">
      <alignment horizontal="left" vertical="top" wrapText="1"/>
    </xf>
    <xf numFmtId="0" fontId="188" fillId="0" borderId="0" xfId="106" applyFont="1" applyAlignment="1">
      <alignment horizontal="left" vertical="top" wrapText="1"/>
    </xf>
    <xf numFmtId="0" fontId="165" fillId="0" borderId="0" xfId="107" applyFont="1" applyAlignment="1">
      <alignment horizontal="justify" vertical="top" wrapText="1"/>
    </xf>
    <xf numFmtId="0" fontId="188" fillId="0" borderId="0" xfId="108" applyFont="1" applyAlignment="1">
      <alignment horizontal="justify" vertical="top"/>
    </xf>
    <xf numFmtId="0" fontId="164" fillId="0" borderId="0" xfId="108" applyFont="1">
      <alignment vertical="top" wrapText="1"/>
    </xf>
    <xf numFmtId="2" fontId="164" fillId="0" borderId="0" xfId="108" applyNumberFormat="1" applyFont="1" applyAlignment="1">
      <alignment vertical="top"/>
    </xf>
    <xf numFmtId="4" fontId="165" fillId="0" borderId="0" xfId="81" applyNumberFormat="1" applyFont="1" applyAlignment="1">
      <alignment vertical="justify"/>
    </xf>
    <xf numFmtId="4" fontId="202" fillId="0" borderId="0" xfId="88" applyNumberFormat="1" applyFont="1" applyAlignment="1">
      <alignment vertical="justify"/>
    </xf>
    <xf numFmtId="49" fontId="164" fillId="0" borderId="0" xfId="108" applyNumberFormat="1" applyFont="1" applyAlignment="1">
      <alignment vertical="justify"/>
    </xf>
    <xf numFmtId="0" fontId="164" fillId="0" borderId="0" xfId="108" applyFont="1" applyAlignment="1">
      <alignment horizontal="justify" vertical="top"/>
    </xf>
    <xf numFmtId="4" fontId="165" fillId="0" borderId="0" xfId="80" applyNumberFormat="1" applyFont="1" applyAlignment="1">
      <alignment vertical="justify"/>
    </xf>
    <xf numFmtId="4" fontId="164" fillId="0" borderId="0" xfId="108" applyNumberFormat="1" applyFont="1" applyAlignment="1">
      <alignment vertical="justify"/>
    </xf>
    <xf numFmtId="2" fontId="165" fillId="0" borderId="0" xfId="108" applyNumberFormat="1" applyFont="1" applyAlignment="1">
      <alignment vertical="top"/>
    </xf>
    <xf numFmtId="0" fontId="164" fillId="0" borderId="0" xfId="108" applyFont="1" applyAlignment="1">
      <alignment vertical="top"/>
    </xf>
    <xf numFmtId="4" fontId="164" fillId="0" borderId="0" xfId="95" applyNumberFormat="1" applyFont="1" applyAlignment="1">
      <alignment vertical="justify"/>
    </xf>
    <xf numFmtId="0" fontId="166" fillId="0" borderId="0" xfId="109" applyFont="1" applyAlignment="1">
      <alignment horizontal="justify" vertical="top" wrapText="1"/>
    </xf>
    <xf numFmtId="0" fontId="164" fillId="0" borderId="0" xfId="109" applyFont="1">
      <alignment vertical="top" wrapText="1"/>
    </xf>
    <xf numFmtId="0" fontId="165" fillId="0" borderId="0" xfId="109" applyFont="1" applyAlignment="1">
      <alignment horizontal="justify" vertical="top" wrapText="1"/>
    </xf>
    <xf numFmtId="0" fontId="172" fillId="0" borderId="0" xfId="109">
      <alignment vertical="top" wrapText="1"/>
    </xf>
    <xf numFmtId="0" fontId="192" fillId="0" borderId="0" xfId="109" applyFont="1">
      <alignment vertical="top" wrapText="1"/>
    </xf>
    <xf numFmtId="49" fontId="165" fillId="0" borderId="0" xfId="109" applyNumberFormat="1" applyFont="1">
      <alignment vertical="top" wrapText="1"/>
    </xf>
    <xf numFmtId="4" fontId="165" fillId="0" borderId="0" xfId="109" applyNumberFormat="1" applyFont="1" applyAlignment="1">
      <alignment horizontal="right" vertical="center" wrapText="1"/>
    </xf>
    <xf numFmtId="0" fontId="166" fillId="0" borderId="0" xfId="110" applyFont="1" applyAlignment="1">
      <alignment horizontal="justify" vertical="top" wrapText="1"/>
    </xf>
    <xf numFmtId="49" fontId="165" fillId="0" borderId="0" xfId="110" applyNumberFormat="1" applyFont="1">
      <alignment vertical="top" wrapText="1"/>
    </xf>
    <xf numFmtId="0" fontId="192" fillId="0" borderId="0" xfId="110" applyFont="1" applyAlignment="1">
      <alignment horizontal="justify" vertical="top" wrapText="1"/>
    </xf>
    <xf numFmtId="4" fontId="165" fillId="0" borderId="0" xfId="110" applyNumberFormat="1" applyFont="1" applyAlignment="1">
      <alignment horizontal="right" vertical="center" wrapText="1"/>
    </xf>
    <xf numFmtId="4" fontId="164" fillId="0" borderId="0" xfId="110" applyNumberFormat="1" applyFont="1" applyAlignment="1">
      <alignment horizontal="right" vertical="top" wrapText="1"/>
    </xf>
    <xf numFmtId="0" fontId="168" fillId="0" borderId="0" xfId="88" applyFont="1" applyAlignment="1">
      <alignment horizontal="left" vertical="top" wrapText="1"/>
    </xf>
    <xf numFmtId="4" fontId="169" fillId="0" borderId="0" xfId="87" applyNumberFormat="1" applyFont="1">
      <alignment vertical="top" wrapText="1"/>
    </xf>
    <xf numFmtId="0" fontId="169" fillId="0" borderId="0" xfId="87" applyFont="1">
      <alignment vertical="top" wrapText="1"/>
    </xf>
    <xf numFmtId="0" fontId="168" fillId="0" borderId="0" xfId="87" applyFont="1">
      <alignment vertical="top" wrapText="1"/>
    </xf>
    <xf numFmtId="180" fontId="195" fillId="0" borderId="0" xfId="80" applyNumberFormat="1" applyFont="1" applyAlignment="1">
      <alignment vertical="top" wrapText="1"/>
    </xf>
    <xf numFmtId="211" fontId="200" fillId="0" borderId="0" xfId="89" applyNumberFormat="1" applyFont="1" applyBorder="1" applyAlignment="1" applyProtection="1">
      <alignment horizontal="center"/>
      <protection locked="0"/>
    </xf>
    <xf numFmtId="4" fontId="175" fillId="0" borderId="0" xfId="41" applyNumberFormat="1" applyFont="1" applyAlignment="1" applyProtection="1">
      <alignment horizontal="justify"/>
      <protection locked="0"/>
    </xf>
    <xf numFmtId="0" fontId="172" fillId="0" borderId="0" xfId="100" applyAlignment="1" applyProtection="1">
      <alignment wrapText="1"/>
      <protection locked="0"/>
    </xf>
    <xf numFmtId="4" fontId="165" fillId="0" borderId="0" xfId="101" applyNumberFormat="1" applyFont="1" applyAlignment="1" applyProtection="1">
      <alignment horizontal="right" wrapText="1"/>
      <protection locked="0"/>
    </xf>
    <xf numFmtId="0" fontId="172" fillId="0" borderId="0" xfId="101" applyAlignment="1" applyProtection="1">
      <alignment wrapText="1"/>
      <protection locked="0"/>
    </xf>
    <xf numFmtId="0" fontId="192" fillId="0" borderId="0" xfId="101" applyFont="1" applyAlignment="1" applyProtection="1">
      <alignment wrapText="1"/>
      <protection locked="0"/>
    </xf>
    <xf numFmtId="0" fontId="164" fillId="0" borderId="0" xfId="100" applyFont="1" applyAlignment="1" applyProtection="1">
      <alignment horizontal="right" wrapText="1"/>
      <protection locked="0"/>
    </xf>
    <xf numFmtId="211" fontId="190" fillId="0" borderId="0" xfId="89" applyNumberFormat="1" applyFont="1" applyAlignment="1" applyProtection="1">
      <alignment horizontal="center"/>
      <protection locked="0"/>
    </xf>
    <xf numFmtId="165" fontId="190" fillId="0" borderId="0" xfId="89" applyFont="1" applyAlignment="1" applyProtection="1">
      <alignment horizontal="center"/>
      <protection locked="0"/>
    </xf>
    <xf numFmtId="43" fontId="190" fillId="0" borderId="0" xfId="93" applyFont="1" applyBorder="1" applyAlignment="1" applyProtection="1">
      <alignment horizontal="center"/>
      <protection locked="0"/>
    </xf>
    <xf numFmtId="165" fontId="190" fillId="0" borderId="0" xfId="89" applyFont="1" applyBorder="1" applyAlignment="1" applyProtection="1">
      <alignment horizontal="center"/>
      <protection locked="0"/>
    </xf>
    <xf numFmtId="0" fontId="23" fillId="0" borderId="0" xfId="41" applyFont="1" applyAlignment="1" applyProtection="1">
      <alignment horizontal="justify"/>
      <protection locked="0"/>
    </xf>
    <xf numFmtId="0" fontId="165" fillId="0" borderId="0" xfId="101" applyFont="1" applyAlignment="1" applyProtection="1">
      <alignment horizontal="right" wrapText="1"/>
      <protection locked="0"/>
    </xf>
    <xf numFmtId="4" fontId="164" fillId="0" borderId="0" xfId="88" applyNumberFormat="1" applyFont="1" applyAlignment="1" applyProtection="1">
      <alignment horizontal="center" wrapText="1"/>
      <protection locked="0"/>
    </xf>
    <xf numFmtId="0" fontId="18" fillId="0" borderId="44" xfId="41" applyBorder="1" applyAlignment="1" applyProtection="1">
      <alignment horizontal="justify"/>
      <protection locked="0"/>
    </xf>
    <xf numFmtId="49" fontId="165" fillId="0" borderId="0" xfId="104" applyNumberFormat="1" applyFont="1">
      <alignment vertical="top" wrapText="1"/>
    </xf>
    <xf numFmtId="4" fontId="165" fillId="0" borderId="0" xfId="104" applyNumberFormat="1" applyFont="1" applyAlignment="1">
      <alignment horizontal="right" vertical="center" wrapText="1"/>
    </xf>
    <xf numFmtId="4" fontId="164" fillId="0" borderId="0" xfId="104" applyNumberFormat="1" applyFont="1" applyAlignment="1">
      <alignment horizontal="right" vertical="top" wrapText="1"/>
    </xf>
    <xf numFmtId="0" fontId="188" fillId="0" borderId="0" xfId="111" applyFont="1" applyAlignment="1">
      <alignment horizontal="justify" vertical="top"/>
    </xf>
    <xf numFmtId="0" fontId="18" fillId="0" borderId="0" xfId="41" applyAlignment="1">
      <alignment horizontal="center"/>
    </xf>
    <xf numFmtId="0" fontId="164" fillId="0" borderId="0" xfId="111" applyFont="1" applyAlignment="1">
      <alignment horizontal="justify" vertical="top"/>
    </xf>
    <xf numFmtId="0" fontId="164" fillId="0" borderId="0" xfId="111" applyFont="1" applyAlignment="1">
      <alignment wrapText="1"/>
    </xf>
    <xf numFmtId="2" fontId="164" fillId="0" borderId="0" xfId="111" applyNumberFormat="1" applyFont="1" applyAlignment="1"/>
    <xf numFmtId="0" fontId="172" fillId="0" borderId="0" xfId="111" applyAlignment="1">
      <alignment wrapText="1"/>
    </xf>
    <xf numFmtId="49" fontId="192" fillId="0" borderId="0" xfId="80" applyNumberFormat="1" applyFont="1" applyAlignment="1">
      <alignment horizontal="justify" vertical="top" wrapText="1"/>
    </xf>
    <xf numFmtId="4" fontId="164" fillId="0" borderId="0" xfId="111" applyNumberFormat="1" applyFont="1" applyAlignment="1"/>
    <xf numFmtId="49" fontId="165" fillId="0" borderId="0" xfId="88" applyNumberFormat="1" applyFont="1" applyAlignment="1">
      <alignment horizontal="left" vertical="top" wrapText="1"/>
    </xf>
    <xf numFmtId="0" fontId="164" fillId="0" borderId="0" xfId="111" applyFont="1" applyAlignment="1"/>
    <xf numFmtId="4" fontId="165" fillId="0" borderId="0" xfId="104" applyNumberFormat="1" applyFont="1" applyAlignment="1">
      <alignment horizontal="right" wrapText="1"/>
    </xf>
    <xf numFmtId="4" fontId="164" fillId="0" borderId="0" xfId="104" applyNumberFormat="1" applyFont="1" applyAlignment="1">
      <alignment horizontal="right" wrapText="1"/>
    </xf>
    <xf numFmtId="0" fontId="172" fillId="0" borderId="0" xfId="99" applyAlignment="1">
      <alignment wrapText="1"/>
    </xf>
    <xf numFmtId="0" fontId="164" fillId="0" borderId="0" xfId="99" applyFont="1" applyAlignment="1">
      <alignment horizontal="justify" vertical="top"/>
    </xf>
    <xf numFmtId="0" fontId="164" fillId="0" borderId="0" xfId="99" applyFont="1" applyAlignment="1"/>
    <xf numFmtId="4" fontId="209" fillId="0" borderId="0" xfId="41" applyNumberFormat="1" applyFont="1" applyAlignment="1">
      <alignment horizontal="justify" vertical="top" wrapText="1"/>
    </xf>
    <xf numFmtId="4" fontId="209" fillId="0" borderId="0" xfId="41" applyNumberFormat="1" applyFont="1" applyAlignment="1">
      <alignment horizontal="center"/>
    </xf>
    <xf numFmtId="210" fontId="209" fillId="0" borderId="0" xfId="89" applyNumberFormat="1" applyFont="1" applyAlignment="1" applyProtection="1">
      <alignment horizontal="center"/>
    </xf>
    <xf numFmtId="165" fontId="209" fillId="0" borderId="0" xfId="89" applyFont="1" applyAlignment="1" applyProtection="1">
      <alignment horizontal="center"/>
    </xf>
    <xf numFmtId="210" fontId="190" fillId="0" borderId="0" xfId="93" applyNumberFormat="1" applyFont="1" applyAlignment="1" applyProtection="1">
      <alignment horizontal="center"/>
    </xf>
    <xf numFmtId="211" fontId="190" fillId="0" borderId="0" xfId="93" applyNumberFormat="1" applyFont="1" applyAlignment="1" applyProtection="1">
      <alignment horizontal="center"/>
    </xf>
    <xf numFmtId="0" fontId="164" fillId="0" borderId="0" xfId="95" applyFont="1" applyAlignment="1">
      <alignment horizontal="left" wrapText="1"/>
    </xf>
    <xf numFmtId="2" fontId="164" fillId="0" borderId="0" xfId="97" applyNumberFormat="1" applyFont="1" applyAlignment="1">
      <alignment horizontal="right" wrapText="1"/>
    </xf>
    <xf numFmtId="0" fontId="164" fillId="0" borderId="0" xfId="106" applyFont="1" applyAlignment="1">
      <alignment horizontal="left" wrapText="1"/>
    </xf>
    <xf numFmtId="0" fontId="172" fillId="0" borderId="0" xfId="106" applyAlignment="1">
      <alignment wrapText="1"/>
    </xf>
    <xf numFmtId="0" fontId="210" fillId="0" borderId="0" xfId="84" applyFont="1" applyAlignment="1">
      <alignment horizontal="left" vertical="top" wrapText="1"/>
    </xf>
    <xf numFmtId="2" fontId="164" fillId="0" borderId="0" xfId="106" applyNumberFormat="1" applyFont="1" applyAlignment="1">
      <alignment horizontal="right" wrapText="1"/>
    </xf>
    <xf numFmtId="0" fontId="164" fillId="0" borderId="0" xfId="94" applyFont="1" applyAlignment="1">
      <alignment horizontal="left" wrapText="1"/>
    </xf>
    <xf numFmtId="4" fontId="209" fillId="0" borderId="0" xfId="41" applyNumberFormat="1" applyFont="1" applyAlignment="1">
      <alignment horizontal="left" vertical="top" wrapText="1"/>
    </xf>
    <xf numFmtId="4" fontId="209" fillId="0" borderId="0" xfId="41" applyNumberFormat="1" applyFont="1" applyAlignment="1">
      <alignment horizontal="center" wrapText="1"/>
    </xf>
    <xf numFmtId="0" fontId="211" fillId="0" borderId="0" xfId="99" applyFont="1" applyAlignment="1">
      <alignment horizontal="justify" vertical="top" wrapText="1"/>
    </xf>
    <xf numFmtId="49" fontId="172" fillId="0" borderId="0" xfId="99" applyNumberFormat="1" applyAlignment="1">
      <alignment horizontal="left" vertical="top" wrapText="1"/>
    </xf>
    <xf numFmtId="4" fontId="164" fillId="0" borderId="21" xfId="99" applyNumberFormat="1" applyFont="1" applyBorder="1" applyAlignment="1">
      <alignment horizontal="center"/>
    </xf>
    <xf numFmtId="4" fontId="165" fillId="0" borderId="0" xfId="109" applyNumberFormat="1" applyFont="1" applyAlignment="1">
      <alignment horizontal="right" wrapText="1"/>
    </xf>
    <xf numFmtId="4" fontId="165" fillId="0" borderId="0" xfId="110" applyNumberFormat="1" applyFont="1" applyAlignment="1">
      <alignment horizontal="right" wrapText="1"/>
    </xf>
    <xf numFmtId="4" fontId="164" fillId="0" borderId="0" xfId="110" applyNumberFormat="1" applyFont="1" applyAlignment="1">
      <alignment horizontal="right" wrapText="1"/>
    </xf>
    <xf numFmtId="0" fontId="192" fillId="0" borderId="0" xfId="109" applyFont="1" applyAlignment="1">
      <alignment wrapText="1"/>
    </xf>
    <xf numFmtId="0" fontId="172" fillId="0" borderId="0" xfId="109" applyAlignment="1">
      <alignment wrapText="1"/>
    </xf>
    <xf numFmtId="210" fontId="190" fillId="0" borderId="0" xfId="89" applyNumberFormat="1" applyFont="1" applyFill="1" applyBorder="1" applyAlignment="1" applyProtection="1">
      <alignment horizontal="center"/>
    </xf>
    <xf numFmtId="4" fontId="190" fillId="0" borderId="0" xfId="41" applyNumberFormat="1" applyFont="1" applyAlignment="1">
      <alignment horizontal="left"/>
    </xf>
    <xf numFmtId="0" fontId="192" fillId="0" borderId="0" xfId="41" applyFont="1" applyAlignment="1">
      <alignment horizontal="justify" vertical="top" wrapText="1"/>
    </xf>
    <xf numFmtId="4" fontId="200" fillId="0" borderId="0" xfId="41" applyNumberFormat="1" applyFont="1" applyAlignment="1">
      <alignment horizontal="left"/>
    </xf>
    <xf numFmtId="210" fontId="200" fillId="0" borderId="0" xfId="93" applyNumberFormat="1" applyFont="1" applyBorder="1" applyAlignment="1" applyProtection="1">
      <alignment horizontal="center"/>
    </xf>
    <xf numFmtId="211" fontId="200" fillId="0" borderId="0" xfId="93" applyNumberFormat="1" applyFont="1" applyBorder="1" applyAlignment="1" applyProtection="1">
      <alignment horizontal="center"/>
    </xf>
    <xf numFmtId="0" fontId="170" fillId="0" borderId="44" xfId="41" applyFont="1" applyBorder="1"/>
    <xf numFmtId="0" fontId="185" fillId="0" borderId="44" xfId="41" applyFont="1" applyBorder="1"/>
    <xf numFmtId="0" fontId="168" fillId="11" borderId="45" xfId="88" applyFont="1" applyFill="1" applyBorder="1" applyAlignment="1">
      <alignment horizontal="left" vertical="top" wrapText="1"/>
    </xf>
    <xf numFmtId="4" fontId="166" fillId="0" borderId="0" xfId="81" applyNumberFormat="1" applyFont="1" applyAlignment="1" applyProtection="1">
      <alignment horizontal="center"/>
      <protection locked="0"/>
    </xf>
    <xf numFmtId="4" fontId="165" fillId="0" borderId="0" xfId="81" applyNumberFormat="1" applyFont="1" applyAlignment="1" applyProtection="1">
      <alignment horizontal="center"/>
      <protection locked="0"/>
    </xf>
    <xf numFmtId="209" fontId="164" fillId="0" borderId="0" xfId="88" applyNumberFormat="1" applyFont="1" applyAlignment="1" applyProtection="1">
      <alignment horizontal="center"/>
      <protection locked="0"/>
    </xf>
    <xf numFmtId="165" fontId="209" fillId="0" borderId="0" xfId="89" applyFont="1" applyAlignment="1" applyProtection="1">
      <alignment horizontal="center"/>
      <protection locked="0"/>
    </xf>
    <xf numFmtId="211" fontId="190" fillId="0" borderId="0" xfId="93" applyNumberFormat="1" applyFont="1" applyAlignment="1" applyProtection="1">
      <alignment horizontal="center"/>
      <protection locked="0"/>
    </xf>
    <xf numFmtId="0" fontId="164" fillId="0" borderId="0" xfId="106" applyFont="1" applyAlignment="1" applyProtection="1">
      <alignment horizontal="center" wrapText="1"/>
      <protection locked="0"/>
    </xf>
    <xf numFmtId="0" fontId="170" fillId="0" borderId="0" xfId="41" applyFont="1" applyAlignment="1" applyProtection="1">
      <alignment horizontal="center"/>
      <protection locked="0"/>
    </xf>
    <xf numFmtId="4" fontId="164" fillId="0" borderId="0" xfId="110" applyNumberFormat="1" applyFont="1" applyAlignment="1" applyProtection="1">
      <alignment horizontal="center" wrapText="1"/>
      <protection locked="0"/>
    </xf>
    <xf numFmtId="0" fontId="185" fillId="0" borderId="0" xfId="41" applyFont="1" applyAlignment="1" applyProtection="1">
      <alignment horizontal="center"/>
      <protection locked="0"/>
    </xf>
    <xf numFmtId="0" fontId="172" fillId="0" borderId="0" xfId="109" applyAlignment="1" applyProtection="1">
      <alignment horizontal="center" wrapText="1"/>
      <protection locked="0"/>
    </xf>
    <xf numFmtId="211" fontId="200" fillId="0" borderId="0" xfId="93" applyNumberFormat="1" applyFont="1" applyBorder="1" applyAlignment="1" applyProtection="1">
      <alignment horizontal="center"/>
      <protection locked="0"/>
    </xf>
    <xf numFmtId="0" fontId="170" fillId="0" borderId="44" xfId="41" applyFont="1" applyBorder="1" applyProtection="1">
      <protection locked="0"/>
    </xf>
    <xf numFmtId="0" fontId="169" fillId="11" borderId="44" xfId="87" applyFont="1" applyFill="1" applyBorder="1" applyProtection="1">
      <alignment vertical="top" wrapText="1"/>
      <protection locked="0"/>
    </xf>
    <xf numFmtId="0" fontId="204" fillId="0" borderId="35" xfId="41" applyFont="1" applyBorder="1" applyAlignment="1">
      <alignment horizontal="justify" vertical="center"/>
    </xf>
    <xf numFmtId="0" fontId="165" fillId="0" borderId="9" xfId="83" applyFont="1" applyBorder="1" applyAlignment="1">
      <alignment horizontal="center" vertical="top" wrapText="1"/>
    </xf>
    <xf numFmtId="49" fontId="165" fillId="0" borderId="9" xfId="83" applyNumberFormat="1" applyFont="1" applyBorder="1" applyAlignment="1">
      <alignment horizontal="center" vertical="top" wrapText="1"/>
    </xf>
    <xf numFmtId="0" fontId="213" fillId="0" borderId="0" xfId="41" applyFont="1" applyAlignment="1">
      <alignment horizontal="justify" vertical="top"/>
    </xf>
    <xf numFmtId="0" fontId="214" fillId="0" borderId="0" xfId="41" applyFont="1" applyAlignment="1">
      <alignment horizontal="justify" vertical="top"/>
    </xf>
    <xf numFmtId="4" fontId="215" fillId="0" borderId="0" xfId="41" applyNumberFormat="1" applyFont="1" applyAlignment="1">
      <alignment horizontal="justify" vertical="center"/>
    </xf>
    <xf numFmtId="4" fontId="216" fillId="0" borderId="0" xfId="41" applyNumberFormat="1" applyFont="1" applyAlignment="1">
      <alignment horizontal="justify" vertical="center"/>
    </xf>
    <xf numFmtId="0" fontId="217" fillId="0" borderId="0" xfId="113" applyFont="1" applyAlignment="1">
      <alignment horizontal="justify" vertical="center" wrapText="1"/>
    </xf>
    <xf numFmtId="20" fontId="192" fillId="0" borderId="0" xfId="113" applyNumberFormat="1" applyFont="1" applyAlignment="1">
      <alignment horizontal="justify" vertical="top"/>
    </xf>
    <xf numFmtId="0" fontId="168" fillId="0" borderId="0" xfId="113" applyFont="1" applyAlignment="1">
      <alignment horizontal="justify" vertical="center" wrapText="1"/>
    </xf>
    <xf numFmtId="49" fontId="165" fillId="0" borderId="0" xfId="104" applyNumberFormat="1" applyFont="1" applyAlignment="1">
      <alignment horizontal="right" vertical="top" wrapText="1"/>
    </xf>
    <xf numFmtId="4" fontId="215" fillId="0" borderId="0" xfId="41" applyNumberFormat="1" applyFont="1" applyAlignment="1">
      <alignment horizontal="center"/>
    </xf>
    <xf numFmtId="4" fontId="216" fillId="0" borderId="0" xfId="41" applyNumberFormat="1" applyFont="1" applyAlignment="1">
      <alignment horizontal="justify"/>
    </xf>
    <xf numFmtId="0" fontId="190" fillId="0" borderId="0" xfId="41" applyFont="1" applyAlignment="1">
      <alignment horizontal="right" vertical="top" wrapText="1"/>
    </xf>
    <xf numFmtId="0" fontId="165" fillId="0" borderId="0" xfId="88" applyFont="1" applyAlignment="1">
      <alignment horizontal="left" vertical="top" wrapText="1"/>
    </xf>
    <xf numFmtId="2" fontId="165" fillId="0" borderId="0" xfId="114" applyNumberFormat="1" applyFont="1" applyAlignment="1">
      <alignment wrapText="1"/>
    </xf>
    <xf numFmtId="4" fontId="165" fillId="0" borderId="27" xfId="114" applyNumberFormat="1" applyFont="1" applyBorder="1" applyAlignment="1">
      <alignment horizontal="right" wrapText="1"/>
    </xf>
    <xf numFmtId="4" fontId="215" fillId="0" borderId="0" xfId="41" applyNumberFormat="1" applyFont="1" applyAlignment="1">
      <alignment vertical="center"/>
    </xf>
    <xf numFmtId="0" fontId="213" fillId="0" borderId="0" xfId="41" applyFont="1" applyAlignment="1">
      <alignment horizontal="left" vertical="top"/>
    </xf>
    <xf numFmtId="0" fontId="192" fillId="0" borderId="0" xfId="113" applyFont="1" applyAlignment="1">
      <alignment horizontal="justify" vertical="center" wrapText="1"/>
    </xf>
    <xf numFmtId="210" fontId="190" fillId="0" borderId="0" xfId="89" applyNumberFormat="1" applyFont="1" applyFill="1" applyBorder="1" applyAlignment="1" applyProtection="1"/>
    <xf numFmtId="4" fontId="216" fillId="0" borderId="0" xfId="41" applyNumberFormat="1" applyFont="1" applyAlignment="1">
      <alignment horizontal="center"/>
    </xf>
    <xf numFmtId="0" fontId="190" fillId="0" borderId="0" xfId="41" quotePrefix="1" applyFont="1" applyAlignment="1">
      <alignment horizontal="justify" vertical="top" wrapText="1"/>
    </xf>
    <xf numFmtId="0" fontId="165" fillId="0" borderId="0" xfId="88" applyFont="1" applyAlignment="1">
      <alignment horizontal="center" wrapText="1"/>
    </xf>
    <xf numFmtId="4" fontId="165" fillId="0" borderId="0" xfId="114" applyNumberFormat="1" applyFont="1" applyAlignment="1">
      <alignment horizontal="center" wrapText="1"/>
    </xf>
    <xf numFmtId="4" fontId="165" fillId="0" borderId="0" xfId="114" applyNumberFormat="1" applyFont="1" applyAlignment="1">
      <alignment horizontal="right" wrapText="1"/>
    </xf>
    <xf numFmtId="0" fontId="192" fillId="0" borderId="0" xfId="113" applyFont="1" applyAlignment="1">
      <alignment horizontal="justify" vertical="top" wrapText="1"/>
    </xf>
    <xf numFmtId="49" fontId="192" fillId="0" borderId="0" xfId="41" applyNumberFormat="1" applyFont="1" applyAlignment="1">
      <alignment horizontal="justify" vertical="top" wrapText="1"/>
    </xf>
    <xf numFmtId="49" fontId="168" fillId="0" borderId="0" xfId="115" applyNumberFormat="1" applyFont="1" applyAlignment="1">
      <alignment horizontal="justify" vertical="center" wrapText="1"/>
    </xf>
    <xf numFmtId="0" fontId="192" fillId="0" borderId="0" xfId="116" applyFont="1" applyAlignment="1">
      <alignment horizontal="justify" vertical="top" wrapText="1"/>
    </xf>
    <xf numFmtId="49" fontId="168" fillId="0" borderId="0" xfId="41" applyNumberFormat="1" applyFont="1" applyAlignment="1">
      <alignment horizontal="justify" vertical="center" wrapText="1"/>
    </xf>
    <xf numFmtId="2" fontId="164" fillId="0" borderId="0" xfId="87" applyNumberFormat="1" applyFont="1" applyAlignment="1">
      <alignment wrapText="1"/>
    </xf>
    <xf numFmtId="4" fontId="165" fillId="0" borderId="27" xfId="114" applyNumberFormat="1" applyFont="1" applyBorder="1" applyAlignment="1">
      <alignment horizontal="center" wrapText="1"/>
    </xf>
    <xf numFmtId="0" fontId="168" fillId="0" borderId="0" xfId="41" applyFont="1"/>
    <xf numFmtId="49" fontId="192" fillId="0" borderId="0" xfId="115" applyNumberFormat="1" applyFont="1" applyAlignment="1">
      <alignment horizontal="left" vertical="top" wrapText="1"/>
    </xf>
    <xf numFmtId="49" fontId="168" fillId="0" borderId="0" xfId="41" applyNumberFormat="1" applyFont="1" applyAlignment="1">
      <alignment horizontal="justify" vertical="top" wrapText="1"/>
    </xf>
    <xf numFmtId="0" fontId="190" fillId="0" borderId="0" xfId="41" applyFont="1" applyAlignment="1">
      <alignment horizontal="left" wrapText="1"/>
    </xf>
    <xf numFmtId="20" fontId="192" fillId="0" borderId="44" xfId="113" applyNumberFormat="1" applyFont="1" applyBorder="1" applyAlignment="1">
      <alignment horizontal="justify" vertical="top"/>
    </xf>
    <xf numFmtId="0" fontId="192" fillId="0" borderId="44" xfId="113" applyFont="1" applyBorder="1" applyAlignment="1">
      <alignment horizontal="justify" vertical="top" wrapText="1"/>
    </xf>
    <xf numFmtId="0" fontId="165" fillId="0" borderId="44" xfId="88" applyFont="1" applyBorder="1" applyAlignment="1">
      <alignment horizontal="left" vertical="top" wrapText="1"/>
    </xf>
    <xf numFmtId="2" fontId="165" fillId="0" borderId="44" xfId="114" applyNumberFormat="1" applyFont="1" applyBorder="1" applyAlignment="1">
      <alignment horizontal="right" vertical="top" wrapText="1"/>
    </xf>
    <xf numFmtId="4" fontId="165" fillId="0" borderId="44" xfId="114" applyNumberFormat="1" applyFont="1" applyBorder="1" applyAlignment="1">
      <alignment horizontal="right" vertical="top" wrapText="1"/>
    </xf>
    <xf numFmtId="0" fontId="168" fillId="11" borderId="44" xfId="100" applyFont="1" applyFill="1" applyBorder="1">
      <alignment vertical="top" wrapText="1"/>
    </xf>
    <xf numFmtId="0" fontId="218" fillId="0" borderId="0" xfId="41" applyFont="1"/>
    <xf numFmtId="4" fontId="215" fillId="0" borderId="0" xfId="41" applyNumberFormat="1" applyFont="1" applyAlignment="1" applyProtection="1">
      <alignment horizontal="justify" vertical="center"/>
      <protection locked="0"/>
    </xf>
    <xf numFmtId="4" fontId="215" fillId="0" borderId="0" xfId="41" applyNumberFormat="1" applyFont="1" applyAlignment="1" applyProtection="1">
      <alignment horizontal="center"/>
      <protection locked="0"/>
    </xf>
    <xf numFmtId="2" fontId="165" fillId="0" borderId="0" xfId="114" applyNumberFormat="1" applyFont="1" applyAlignment="1" applyProtection="1">
      <alignment horizontal="center" wrapText="1"/>
      <protection locked="0"/>
    </xf>
    <xf numFmtId="208" fontId="192" fillId="0" borderId="0" xfId="113" applyNumberFormat="1" applyFont="1" applyAlignment="1" applyProtection="1">
      <alignment horizontal="center"/>
      <protection locked="0"/>
    </xf>
    <xf numFmtId="2" fontId="165" fillId="0" borderId="44" xfId="114" applyNumberFormat="1" applyFont="1" applyBorder="1" applyAlignment="1" applyProtection="1">
      <alignment horizontal="right" vertical="top" wrapText="1"/>
      <protection locked="0"/>
    </xf>
    <xf numFmtId="0" fontId="168" fillId="11" borderId="44" xfId="100" applyFont="1" applyFill="1" applyBorder="1" applyProtection="1">
      <alignment vertical="top" wrapText="1"/>
      <protection locked="0"/>
    </xf>
    <xf numFmtId="0" fontId="204" fillId="0" borderId="0" xfId="41" applyFont="1" applyProtection="1">
      <protection locked="0"/>
    </xf>
    <xf numFmtId="1" fontId="110" fillId="0" borderId="0" xfId="49" applyNumberFormat="1" applyFont="1" applyAlignment="1">
      <alignment horizontal="center" vertical="center"/>
    </xf>
    <xf numFmtId="0" fontId="111" fillId="0" borderId="0" xfId="48" applyFont="1"/>
    <xf numFmtId="0" fontId="110" fillId="0" borderId="0" xfId="49" applyFont="1"/>
    <xf numFmtId="197" fontId="110" fillId="0" borderId="0" xfId="49" applyNumberFormat="1" applyFont="1" applyAlignment="1">
      <alignment horizontal="right"/>
    </xf>
    <xf numFmtId="0" fontId="28" fillId="0" borderId="0" xfId="49" applyFont="1"/>
    <xf numFmtId="0" fontId="25" fillId="0" borderId="0" xfId="49" applyFont="1"/>
    <xf numFmtId="0" fontId="109" fillId="0" borderId="0" xfId="49"/>
    <xf numFmtId="198" fontId="110" fillId="11" borderId="8" xfId="50" applyNumberFormat="1" applyFont="1" applyFill="1" applyBorder="1" applyAlignment="1">
      <alignment horizontal="center" vertical="center" wrapText="1"/>
    </xf>
    <xf numFmtId="0" fontId="110" fillId="11" borderId="9" xfId="50" applyFont="1" applyFill="1" applyBorder="1" applyAlignment="1">
      <alignment vertical="center" wrapText="1"/>
    </xf>
    <xf numFmtId="0" fontId="110" fillId="11" borderId="9" xfId="50" applyFont="1" applyFill="1" applyBorder="1" applyAlignment="1">
      <alignment wrapText="1"/>
    </xf>
    <xf numFmtId="197" fontId="110" fillId="11" borderId="9" xfId="50" applyNumberFormat="1" applyFont="1" applyFill="1" applyBorder="1" applyAlignment="1">
      <alignment wrapText="1"/>
    </xf>
    <xf numFmtId="197" fontId="110" fillId="11" borderId="10" xfId="50" applyNumberFormat="1" applyFont="1" applyFill="1" applyBorder="1" applyAlignment="1">
      <alignment horizontal="center" vertical="center" wrapText="1"/>
    </xf>
    <xf numFmtId="0" fontId="28" fillId="0" borderId="0" xfId="50" applyFont="1" applyAlignment="1">
      <alignment horizontal="center" vertical="center"/>
    </xf>
    <xf numFmtId="0" fontId="25" fillId="0" borderId="0" xfId="50" applyFont="1"/>
    <xf numFmtId="0" fontId="109" fillId="0" borderId="0" xfId="50"/>
    <xf numFmtId="2" fontId="111" fillId="12" borderId="0" xfId="48" applyNumberFormat="1" applyFont="1" applyFill="1" applyAlignment="1">
      <alignment horizontal="center" vertical="center"/>
    </xf>
    <xf numFmtId="0" fontId="111" fillId="12" borderId="0" xfId="48" applyFont="1" applyFill="1"/>
    <xf numFmtId="164" fontId="111" fillId="12" borderId="11" xfId="48" applyNumberFormat="1" applyFont="1" applyFill="1" applyBorder="1"/>
    <xf numFmtId="198" fontId="113" fillId="0" borderId="0" xfId="48" applyNumberFormat="1" applyFont="1" applyAlignment="1">
      <alignment horizontal="center" vertical="center"/>
    </xf>
    <xf numFmtId="0" fontId="114" fillId="0" borderId="0" xfId="51" applyFont="1" applyAlignment="1">
      <alignment horizontal="justify" vertical="center" wrapText="1"/>
    </xf>
    <xf numFmtId="0" fontId="112" fillId="0" borderId="1" xfId="48" applyFont="1" applyBorder="1"/>
    <xf numFmtId="3" fontId="112" fillId="0" borderId="1" xfId="48" applyNumberFormat="1" applyFont="1" applyBorder="1"/>
    <xf numFmtId="199" fontId="115" fillId="0" borderId="0" xfId="52" applyNumberFormat="1" applyFont="1" applyBorder="1" applyAlignment="1" applyProtection="1">
      <alignment wrapText="1"/>
    </xf>
    <xf numFmtId="199" fontId="115" fillId="0" borderId="0" xfId="53" applyNumberFormat="1" applyFont="1" applyAlignment="1">
      <alignment horizontal="right"/>
    </xf>
    <xf numFmtId="0" fontId="113" fillId="0" borderId="0" xfId="48" applyFont="1"/>
    <xf numFmtId="0" fontId="112" fillId="0" borderId="0" xfId="48" applyFont="1" applyAlignment="1">
      <alignment vertical="top" wrapText="1"/>
    </xf>
    <xf numFmtId="0" fontId="108" fillId="0" borderId="0" xfId="48" applyFont="1" applyAlignment="1">
      <alignment horizontal="justify"/>
    </xf>
    <xf numFmtId="0" fontId="113" fillId="0" borderId="0" xfId="48" applyFont="1" applyAlignment="1">
      <alignment wrapText="1"/>
    </xf>
    <xf numFmtId="0" fontId="113" fillId="0" borderId="0" xfId="48" applyFont="1" applyAlignment="1">
      <alignment horizontal="center"/>
    </xf>
    <xf numFmtId="0" fontId="112" fillId="0" borderId="0" xfId="48" applyFont="1"/>
    <xf numFmtId="0" fontId="114" fillId="0" borderId="0" xfId="51" applyFont="1" applyAlignment="1">
      <alignment horizontal="justify" vertical="center"/>
    </xf>
    <xf numFmtId="0" fontId="114" fillId="0" borderId="0" xfId="51" applyFont="1" applyAlignment="1">
      <alignment horizontal="center" vertical="center"/>
    </xf>
    <xf numFmtId="0" fontId="114" fillId="0" borderId="0" xfId="51" applyFont="1" applyAlignment="1">
      <alignment horizontal="left" vertical="center"/>
    </xf>
    <xf numFmtId="0" fontId="112" fillId="0" borderId="0" xfId="48" applyFont="1" applyAlignment="1">
      <alignment horizontal="left" vertical="top" wrapText="1"/>
    </xf>
    <xf numFmtId="0" fontId="114" fillId="0" borderId="0" xfId="54" applyFont="1" applyAlignment="1">
      <alignment horizontal="justify" vertical="center"/>
    </xf>
    <xf numFmtId="0" fontId="114" fillId="0" borderId="0" xfId="54" applyFont="1" applyAlignment="1">
      <alignment horizontal="left"/>
    </xf>
    <xf numFmtId="200" fontId="114" fillId="0" borderId="0" xfId="54" applyNumberFormat="1" applyFont="1" applyAlignment="1"/>
    <xf numFmtId="0" fontId="114" fillId="0" borderId="0" xfId="54" applyFont="1" applyAlignment="1">
      <alignment horizontal="justify"/>
    </xf>
    <xf numFmtId="0" fontId="115" fillId="0" borderId="0" xfId="48" applyFont="1" applyAlignment="1">
      <alignment vertical="top" wrapText="1"/>
    </xf>
    <xf numFmtId="0" fontId="115" fillId="0" borderId="0" xfId="48" applyFont="1"/>
    <xf numFmtId="0" fontId="115" fillId="0" borderId="0" xfId="48" applyFont="1" applyAlignment="1">
      <alignment horizontal="center"/>
    </xf>
    <xf numFmtId="4" fontId="115" fillId="0" borderId="0" xfId="55" applyNumberFormat="1" applyFont="1" applyAlignment="1"/>
    <xf numFmtId="0" fontId="115" fillId="0" borderId="0" xfId="55" applyFont="1" applyAlignment="1"/>
    <xf numFmtId="198" fontId="115" fillId="0" borderId="0" xfId="55" applyNumberFormat="1" applyFont="1" applyAlignment="1">
      <alignment horizontal="center" vertical="center"/>
    </xf>
    <xf numFmtId="199" fontId="115" fillId="0" borderId="0" xfId="48" applyNumberFormat="1" applyFont="1" applyAlignment="1">
      <alignment horizontal="right"/>
    </xf>
    <xf numFmtId="0" fontId="115" fillId="0" borderId="0" xfId="56" applyFont="1" applyAlignment="1">
      <alignment wrapText="1"/>
    </xf>
    <xf numFmtId="0" fontId="115" fillId="0" borderId="0" xfId="56" applyFont="1" applyAlignment="1"/>
    <xf numFmtId="200" fontId="115" fillId="0" borderId="0" xfId="56" applyNumberFormat="1" applyFont="1" applyAlignment="1">
      <alignment horizontal="center"/>
    </xf>
    <xf numFmtId="4" fontId="117" fillId="0" borderId="0" xfId="55" applyNumberFormat="1" applyFont="1" applyAlignment="1"/>
    <xf numFmtId="199" fontId="115" fillId="0" borderId="0" xfId="47" applyNumberFormat="1" applyFont="1" applyAlignment="1">
      <alignment horizontal="right"/>
    </xf>
    <xf numFmtId="0" fontId="113" fillId="12" borderId="0" xfId="48" applyFont="1" applyFill="1"/>
    <xf numFmtId="199" fontId="111" fillId="12" borderId="12" xfId="48" applyNumberFormat="1" applyFont="1" applyFill="1" applyBorder="1"/>
    <xf numFmtId="0" fontId="113" fillId="0" borderId="0" xfId="57" applyFont="1" applyAlignment="1">
      <alignment vertical="top" wrapText="1"/>
    </xf>
    <xf numFmtId="200" fontId="115" fillId="0" borderId="0" xfId="56" applyNumberFormat="1" applyFont="1" applyAlignment="1"/>
    <xf numFmtId="0" fontId="114" fillId="0" borderId="0" xfId="51" applyFont="1" applyAlignment="1">
      <alignment horizontal="left"/>
    </xf>
    <xf numFmtId="200" fontId="114" fillId="0" borderId="0" xfId="51" applyNumberFormat="1" applyFont="1" applyAlignment="1">
      <alignment horizontal="center" vertical="center"/>
    </xf>
    <xf numFmtId="180" fontId="114" fillId="0" borderId="0" xfId="53" applyNumberFormat="1" applyFont="1" applyAlignment="1">
      <alignment horizontal="right"/>
    </xf>
    <xf numFmtId="4" fontId="118" fillId="0" borderId="0" xfId="55" applyNumberFormat="1" applyFont="1" applyAlignment="1"/>
    <xf numFmtId="1" fontId="114" fillId="0" borderId="0" xfId="55" applyNumberFormat="1" applyFont="1" applyAlignment="1">
      <alignment horizontal="center" vertical="center"/>
    </xf>
    <xf numFmtId="164" fontId="115" fillId="0" borderId="0" xfId="53" applyNumberFormat="1" applyFont="1" applyAlignment="1">
      <alignment horizontal="right"/>
    </xf>
    <xf numFmtId="0" fontId="115" fillId="0" borderId="0" xfId="56" applyFont="1" applyAlignment="1">
      <alignment horizontal="left"/>
    </xf>
    <xf numFmtId="164" fontId="114" fillId="0" borderId="0" xfId="53" applyNumberFormat="1" applyFont="1" applyAlignment="1">
      <alignment horizontal="right"/>
    </xf>
    <xf numFmtId="180" fontId="114" fillId="0" borderId="0" xfId="54" applyNumberFormat="1" applyFont="1" applyAlignment="1">
      <alignment horizontal="right"/>
    </xf>
    <xf numFmtId="0" fontId="115" fillId="0" borderId="0" xfId="56" applyFont="1" applyAlignment="1">
      <alignment horizontal="justify"/>
    </xf>
    <xf numFmtId="0" fontId="114" fillId="0" borderId="0" xfId="51" applyFont="1" applyAlignment="1">
      <alignment horizontal="center"/>
    </xf>
    <xf numFmtId="3" fontId="112" fillId="0" borderId="1" xfId="48" applyNumberFormat="1" applyFont="1" applyBorder="1" applyAlignment="1">
      <alignment horizontal="center"/>
    </xf>
    <xf numFmtId="199" fontId="113" fillId="0" borderId="0" xfId="48" applyNumberFormat="1" applyFont="1"/>
    <xf numFmtId="0" fontId="113" fillId="0" borderId="0" xfId="48" applyFont="1" applyAlignment="1">
      <alignment horizontal="justify"/>
    </xf>
    <xf numFmtId="0" fontId="115" fillId="0" borderId="0" xfId="58" applyFont="1" applyAlignment="1">
      <alignment horizontal="justify" wrapText="1"/>
    </xf>
    <xf numFmtId="199" fontId="115" fillId="0" borderId="0" xfId="55" applyNumberFormat="1" applyFont="1" applyAlignment="1">
      <alignment vertical="top"/>
    </xf>
    <xf numFmtId="0" fontId="115" fillId="0" borderId="0" xfId="59" applyFont="1" applyAlignment="1">
      <alignment vertical="top" wrapText="1"/>
    </xf>
    <xf numFmtId="0" fontId="115" fillId="0" borderId="0" xfId="60" applyFont="1" applyAlignment="1"/>
    <xf numFmtId="201" fontId="115" fillId="0" borderId="0" xfId="60" applyNumberFormat="1" applyFont="1" applyAlignment="1">
      <alignment horizontal="center"/>
    </xf>
    <xf numFmtId="0" fontId="113" fillId="12" borderId="0" xfId="48" applyFont="1" applyFill="1" applyAlignment="1">
      <alignment horizontal="left"/>
    </xf>
    <xf numFmtId="0" fontId="113" fillId="12" borderId="0" xfId="48" applyFont="1" applyFill="1" applyAlignment="1">
      <alignment horizontal="center"/>
    </xf>
    <xf numFmtId="199" fontId="111" fillId="12" borderId="0" xfId="48" applyNumberFormat="1" applyFont="1" applyFill="1"/>
    <xf numFmtId="0" fontId="113" fillId="0" borderId="0" xfId="48" applyFont="1" applyAlignment="1">
      <alignment horizontal="left"/>
    </xf>
    <xf numFmtId="0" fontId="119" fillId="0" borderId="0" xfId="47" applyFont="1" applyAlignment="1">
      <alignment horizontal="left" vertical="center" wrapText="1"/>
    </xf>
    <xf numFmtId="0" fontId="113" fillId="0" borderId="0" xfId="57" applyFont="1" applyAlignment="1">
      <alignment horizontal="justify" vertical="top"/>
    </xf>
    <xf numFmtId="0" fontId="113" fillId="0" borderId="0" xfId="57" applyFont="1" applyAlignment="1">
      <alignment horizontal="justify" vertical="top" wrapText="1"/>
    </xf>
    <xf numFmtId="1" fontId="115" fillId="0" borderId="0" xfId="56" applyNumberFormat="1" applyFont="1" applyAlignment="1">
      <alignment horizontal="center"/>
    </xf>
    <xf numFmtId="1" fontId="115" fillId="0" borderId="0" xfId="55" applyNumberFormat="1" applyFont="1" applyAlignment="1">
      <alignment horizontal="center" vertical="center"/>
    </xf>
    <xf numFmtId="0" fontId="115" fillId="0" borderId="0" xfId="61" applyFont="1" applyAlignment="1">
      <alignment horizontal="center"/>
    </xf>
    <xf numFmtId="1" fontId="115" fillId="0" borderId="0" xfId="61" applyNumberFormat="1" applyFont="1" applyAlignment="1">
      <alignment horizontal="center"/>
    </xf>
    <xf numFmtId="0" fontId="115" fillId="0" borderId="0" xfId="61" applyFont="1" applyAlignment="1">
      <alignment horizontal="center" vertical="center"/>
    </xf>
    <xf numFmtId="1" fontId="115" fillId="0" borderId="0" xfId="61" applyNumberFormat="1" applyFont="1" applyAlignment="1">
      <alignment horizontal="center" vertical="center"/>
    </xf>
    <xf numFmtId="0" fontId="115" fillId="0" borderId="0" xfId="61" applyFont="1" applyAlignment="1">
      <alignment horizontal="justify" vertical="top"/>
    </xf>
    <xf numFmtId="0" fontId="112" fillId="0" borderId="0" xfId="62" applyFont="1" applyAlignment="1">
      <alignment horizontal="justify" vertical="top" wrapText="1"/>
    </xf>
    <xf numFmtId="0" fontId="112" fillId="0" borderId="0" xfId="62" applyFont="1" applyAlignment="1">
      <alignment horizontal="justify" vertical="top"/>
    </xf>
    <xf numFmtId="199" fontId="5" fillId="0" borderId="0" xfId="48" applyNumberFormat="1"/>
    <xf numFmtId="0" fontId="115" fillId="0" borderId="0" xfId="63" applyFont="1" applyAlignment="1">
      <alignment horizontal="justify" vertical="top"/>
    </xf>
    <xf numFmtId="0" fontId="115" fillId="0" borderId="0" xfId="63" applyFont="1" applyAlignment="1">
      <alignment horizontal="left" vertical="center"/>
    </xf>
    <xf numFmtId="1" fontId="115" fillId="0" borderId="0" xfId="63" applyNumberFormat="1" applyFont="1" applyAlignment="1">
      <alignment horizontal="center" vertical="center"/>
    </xf>
    <xf numFmtId="0" fontId="30" fillId="0" borderId="0" xfId="64" applyFont="1" applyAlignment="1">
      <alignment horizontal="justify"/>
    </xf>
    <xf numFmtId="0" fontId="30" fillId="0" borderId="0" xfId="65" applyFont="1" applyAlignment="1">
      <alignment horizontal="justify" vertical="top"/>
    </xf>
    <xf numFmtId="0" fontId="30" fillId="0" borderId="0" xfId="65" applyFont="1" applyAlignment="1">
      <alignment horizontal="left" vertical="center"/>
    </xf>
    <xf numFmtId="1" fontId="30" fillId="0" borderId="0" xfId="65" applyNumberFormat="1" applyFont="1" applyAlignment="1">
      <alignment horizontal="center" vertical="center"/>
    </xf>
    <xf numFmtId="202" fontId="30" fillId="0" borderId="0" xfId="53" applyNumberFormat="1" applyFont="1" applyAlignment="1">
      <alignment horizontal="right" vertical="center"/>
    </xf>
    <xf numFmtId="2" fontId="30" fillId="0" borderId="0" xfId="48" applyNumberFormat="1" applyFont="1" applyAlignment="1">
      <alignment horizontal="center" vertical="center"/>
    </xf>
    <xf numFmtId="0" fontId="30" fillId="0" borderId="0" xfId="58" applyFont="1" applyAlignment="1">
      <alignment horizontal="left"/>
    </xf>
    <xf numFmtId="1" fontId="30" fillId="0" borderId="0" xfId="58" applyNumberFormat="1" applyFont="1" applyAlignment="1">
      <alignment horizontal="center"/>
    </xf>
    <xf numFmtId="0" fontId="115" fillId="0" borderId="0" xfId="58" applyFont="1" applyAlignment="1">
      <alignment horizontal="justify"/>
    </xf>
    <xf numFmtId="2" fontId="112" fillId="0" borderId="0" xfId="48" applyNumberFormat="1" applyFont="1" applyAlignment="1">
      <alignment horizontal="center" vertical="center"/>
    </xf>
    <xf numFmtId="199" fontId="30" fillId="0" borderId="0" xfId="53" applyNumberFormat="1" applyFont="1" applyAlignment="1">
      <alignment horizontal="right" vertical="center"/>
    </xf>
    <xf numFmtId="0" fontId="115" fillId="0" borderId="0" xfId="63" applyFont="1" applyAlignment="1">
      <alignment horizontal="justify" vertical="top" wrapText="1"/>
    </xf>
    <xf numFmtId="0" fontId="115" fillId="0" borderId="0" xfId="56" applyFont="1" applyAlignment="1">
      <alignment horizontal="center"/>
    </xf>
    <xf numFmtId="0" fontId="120" fillId="0" borderId="0" xfId="51" applyFont="1" applyAlignment="1">
      <alignment horizontal="left"/>
    </xf>
    <xf numFmtId="0" fontId="120" fillId="0" borderId="0" xfId="51" applyFont="1" applyAlignment="1">
      <alignment horizontal="center"/>
    </xf>
    <xf numFmtId="0" fontId="122" fillId="0" borderId="0" xfId="66" applyFont="1" applyAlignment="1">
      <alignment horizontal="center"/>
    </xf>
    <xf numFmtId="0" fontId="123" fillId="0" borderId="0" xfId="48" applyFont="1" applyAlignment="1">
      <alignment horizontal="left" wrapText="1"/>
    </xf>
    <xf numFmtId="1" fontId="123" fillId="0" borderId="0" xfId="55" applyNumberFormat="1" applyFont="1" applyAlignment="1">
      <alignment horizontal="right"/>
    </xf>
    <xf numFmtId="199" fontId="124" fillId="0" borderId="0" xfId="55" applyNumberFormat="1" applyFont="1" applyAlignment="1"/>
    <xf numFmtId="1" fontId="85" fillId="0" borderId="0" xfId="55" applyNumberFormat="1" applyFont="1" applyAlignment="1">
      <alignment horizontal="center" vertical="center"/>
    </xf>
    <xf numFmtId="0" fontId="114" fillId="0" borderId="0" xfId="56" applyFont="1" applyAlignment="1">
      <alignment horizontal="justify" wrapText="1"/>
    </xf>
    <xf numFmtId="0" fontId="128" fillId="12" borderId="0" xfId="48" applyFont="1" applyFill="1"/>
    <xf numFmtId="0" fontId="115" fillId="0" borderId="0" xfId="61" applyFont="1" applyAlignment="1">
      <alignment horizontal="justify" vertical="top" wrapText="1"/>
    </xf>
    <xf numFmtId="0" fontId="115" fillId="0" borderId="0" xfId="67" applyFont="1" applyAlignment="1">
      <alignment horizontal="justify" vertical="top"/>
    </xf>
    <xf numFmtId="0" fontId="111" fillId="12" borderId="0" xfId="48" applyFont="1" applyFill="1" applyAlignment="1">
      <alignment horizontal="left"/>
    </xf>
    <xf numFmtId="0" fontId="111" fillId="12" borderId="0" xfId="48" applyFont="1" applyFill="1" applyAlignment="1">
      <alignment horizontal="center"/>
    </xf>
    <xf numFmtId="199" fontId="115" fillId="0" borderId="0" xfId="61" applyNumberFormat="1" applyFont="1" applyAlignment="1">
      <alignment horizontal="justify" vertical="top" wrapText="1"/>
    </xf>
    <xf numFmtId="4" fontId="14" fillId="0" borderId="0" xfId="55" applyNumberFormat="1" applyFont="1" applyAlignment="1"/>
    <xf numFmtId="2" fontId="14" fillId="0" borderId="0" xfId="48" applyNumberFormat="1" applyFont="1" applyAlignment="1">
      <alignment horizontal="center" vertical="center"/>
    </xf>
    <xf numFmtId="199" fontId="115" fillId="0" borderId="0" xfId="53" applyNumberFormat="1" applyFont="1" applyAlignment="1">
      <alignment horizontal="right" vertical="center"/>
    </xf>
    <xf numFmtId="0" fontId="14" fillId="0" borderId="0" xfId="63" applyFont="1" applyAlignment="1">
      <alignment horizontal="left" vertical="center"/>
    </xf>
    <xf numFmtId="1" fontId="14" fillId="0" borderId="0" xfId="63" applyNumberFormat="1" applyFont="1" applyAlignment="1">
      <alignment horizontal="center" vertical="center"/>
    </xf>
    <xf numFmtId="199" fontId="14" fillId="0" borderId="0" xfId="53" applyNumberFormat="1" applyFont="1" applyAlignment="1">
      <alignment horizontal="right"/>
    </xf>
    <xf numFmtId="1" fontId="118" fillId="0" borderId="0" xfId="55" applyNumberFormat="1" applyFont="1" applyAlignment="1">
      <alignment horizontal="center" vertical="center"/>
    </xf>
    <xf numFmtId="0" fontId="118" fillId="0" borderId="0" xfId="63" applyFont="1" applyAlignment="1">
      <alignment horizontal="left" vertical="center"/>
    </xf>
    <xf numFmtId="1" fontId="118" fillId="0" borderId="0" xfId="63" applyNumberFormat="1" applyFont="1" applyAlignment="1">
      <alignment horizontal="center" vertical="center"/>
    </xf>
    <xf numFmtId="199" fontId="118" fillId="0" borderId="0" xfId="53" applyNumberFormat="1" applyFont="1" applyAlignment="1">
      <alignment horizontal="right"/>
    </xf>
    <xf numFmtId="1" fontId="112" fillId="0" borderId="0" xfId="48" applyNumberFormat="1" applyFont="1" applyAlignment="1">
      <alignment horizontal="center"/>
    </xf>
    <xf numFmtId="199" fontId="112" fillId="0" borderId="0" xfId="48" applyNumberFormat="1" applyFont="1"/>
    <xf numFmtId="0" fontId="112" fillId="0" borderId="0" xfId="48" applyFont="1" applyAlignment="1">
      <alignment horizontal="center" vertical="center"/>
    </xf>
    <xf numFmtId="0" fontId="112" fillId="0" borderId="0" xfId="48" applyFont="1" applyAlignment="1">
      <alignment horizontal="center"/>
    </xf>
    <xf numFmtId="0" fontId="112" fillId="0" borderId="0" xfId="48" applyFont="1" applyAlignment="1">
      <alignment horizontal="left"/>
    </xf>
    <xf numFmtId="0" fontId="115" fillId="0" borderId="0" xfId="48" applyFont="1" applyAlignment="1">
      <alignment horizontal="left" vertical="top" wrapText="1"/>
    </xf>
    <xf numFmtId="0" fontId="115" fillId="0" borderId="0" xfId="63" applyFont="1" applyAlignment="1">
      <alignment horizontal="center" vertical="center"/>
    </xf>
    <xf numFmtId="49" fontId="115" fillId="0" borderId="0" xfId="55" applyNumberFormat="1" applyFont="1" applyAlignment="1">
      <alignment horizontal="center" vertical="center"/>
    </xf>
    <xf numFmtId="0" fontId="115" fillId="0" borderId="0" xfId="60" applyFont="1" applyAlignment="1">
      <alignment wrapText="1"/>
    </xf>
    <xf numFmtId="198" fontId="110" fillId="11" borderId="9" xfId="49" applyNumberFormat="1" applyFont="1" applyFill="1" applyBorder="1" applyAlignment="1">
      <alignment horizontal="center" vertical="center" wrapText="1"/>
    </xf>
    <xf numFmtId="199" fontId="110" fillId="0" borderId="13" xfId="49" applyNumberFormat="1" applyFont="1" applyBorder="1" applyAlignment="1">
      <alignment horizontal="right" vertical="center" wrapText="1"/>
    </xf>
    <xf numFmtId="199" fontId="128" fillId="0" borderId="0" xfId="48" applyNumberFormat="1" applyFont="1"/>
    <xf numFmtId="199" fontId="115" fillId="0" borderId="0" xfId="52" applyNumberFormat="1" applyFont="1" applyBorder="1" applyAlignment="1" applyProtection="1">
      <alignment wrapText="1"/>
      <protection locked="0"/>
    </xf>
    <xf numFmtId="199" fontId="115" fillId="0" borderId="0" xfId="48" applyNumberFormat="1" applyFont="1" applyAlignment="1" applyProtection="1">
      <alignment horizontal="center" wrapText="1"/>
      <protection locked="0"/>
    </xf>
    <xf numFmtId="199" fontId="115" fillId="0" borderId="0" xfId="52" applyNumberFormat="1" applyFont="1" applyAlignment="1" applyProtection="1">
      <protection locked="0"/>
    </xf>
    <xf numFmtId="199" fontId="113" fillId="12" borderId="0" xfId="52" applyNumberFormat="1" applyFont="1" applyFill="1" applyAlignment="1" applyProtection="1">
      <protection locked="0"/>
    </xf>
    <xf numFmtId="199" fontId="115" fillId="0" borderId="0" xfId="52" applyNumberFormat="1" applyFont="1" applyAlignment="1" applyProtection="1">
      <alignment wrapText="1"/>
      <protection locked="0"/>
    </xf>
    <xf numFmtId="180" fontId="114" fillId="0" borderId="0" xfId="53" applyNumberFormat="1" applyFont="1" applyAlignment="1" applyProtection="1">
      <alignment horizontal="center"/>
      <protection locked="0"/>
    </xf>
    <xf numFmtId="0" fontId="115" fillId="0" borderId="0" xfId="48" applyFont="1" applyAlignment="1" applyProtection="1">
      <alignment horizontal="center" wrapText="1"/>
      <protection locked="0"/>
    </xf>
    <xf numFmtId="180" fontId="114" fillId="0" borderId="0" xfId="54" applyNumberFormat="1" applyFont="1" applyAlignment="1" applyProtection="1">
      <alignment horizontal="center"/>
      <protection locked="0"/>
    </xf>
    <xf numFmtId="199" fontId="113" fillId="0" borderId="0" xfId="48" applyNumberFormat="1" applyFont="1" applyProtection="1">
      <protection locked="0"/>
    </xf>
    <xf numFmtId="199" fontId="113" fillId="0" borderId="0" xfId="52" applyNumberFormat="1" applyFont="1" applyAlignment="1" applyProtection="1">
      <protection locked="0"/>
    </xf>
    <xf numFmtId="0" fontId="113" fillId="0" borderId="0" xfId="48" applyFont="1" applyProtection="1">
      <protection locked="0"/>
    </xf>
    <xf numFmtId="199" fontId="115" fillId="0" borderId="0" xfId="56" applyNumberFormat="1" applyFont="1" applyAlignment="1" applyProtection="1">
      <protection locked="0"/>
    </xf>
    <xf numFmtId="199" fontId="115" fillId="0" borderId="0" xfId="52" applyNumberFormat="1" applyFont="1" applyBorder="1" applyAlignment="1" applyProtection="1">
      <alignment horizontal="center" wrapText="1"/>
      <protection locked="0"/>
    </xf>
    <xf numFmtId="199" fontId="113" fillId="12" borderId="0" xfId="52" applyNumberFormat="1" applyFont="1" applyFill="1" applyAlignment="1" applyProtection="1">
      <alignment horizontal="center"/>
      <protection locked="0"/>
    </xf>
    <xf numFmtId="199" fontId="113" fillId="0" borderId="0" xfId="52" applyNumberFormat="1" applyFont="1" applyAlignment="1" applyProtection="1">
      <alignment horizontal="center"/>
      <protection locked="0"/>
    </xf>
    <xf numFmtId="199" fontId="115" fillId="0" borderId="0" xfId="52" applyNumberFormat="1" applyFont="1" applyAlignment="1" applyProtection="1">
      <alignment horizontal="center"/>
      <protection locked="0"/>
    </xf>
    <xf numFmtId="199" fontId="113" fillId="12" borderId="0" xfId="48" applyNumberFormat="1" applyFont="1" applyFill="1" applyProtection="1">
      <protection locked="0"/>
    </xf>
    <xf numFmtId="199" fontId="115" fillId="0" borderId="0" xfId="53" applyNumberFormat="1" applyFont="1" applyAlignment="1" applyProtection="1">
      <alignment horizontal="center"/>
      <protection locked="0"/>
    </xf>
    <xf numFmtId="199" fontId="5" fillId="0" borderId="0" xfId="48" applyNumberFormat="1" applyProtection="1">
      <protection locked="0"/>
    </xf>
    <xf numFmtId="199" fontId="113" fillId="0" borderId="0" xfId="48" applyNumberFormat="1" applyFont="1" applyAlignment="1" applyProtection="1">
      <alignment horizontal="center"/>
      <protection locked="0"/>
    </xf>
    <xf numFmtId="202" fontId="30" fillId="0" borderId="0" xfId="53" applyNumberFormat="1" applyFont="1" applyAlignment="1" applyProtection="1">
      <alignment horizontal="center" vertical="center"/>
      <protection locked="0"/>
    </xf>
    <xf numFmtId="202" fontId="30" fillId="0" borderId="0" xfId="53" applyNumberFormat="1" applyFont="1" applyAlignment="1" applyProtection="1">
      <alignment horizontal="center"/>
      <protection locked="0"/>
    </xf>
    <xf numFmtId="199" fontId="30" fillId="0" borderId="0" xfId="53" applyNumberFormat="1" applyFont="1" applyAlignment="1" applyProtection="1">
      <alignment horizontal="center" vertical="center"/>
      <protection locked="0"/>
    </xf>
    <xf numFmtId="199" fontId="30" fillId="0" borderId="0" xfId="53" applyNumberFormat="1" applyFont="1" applyAlignment="1" applyProtection="1">
      <alignment horizontal="center"/>
      <protection locked="0"/>
    </xf>
    <xf numFmtId="199" fontId="115" fillId="0" borderId="0" xfId="56" applyNumberFormat="1" applyFont="1" applyAlignment="1" applyProtection="1">
      <alignment horizontal="center"/>
      <protection locked="0"/>
    </xf>
    <xf numFmtId="199" fontId="111" fillId="12" borderId="0" xfId="52" applyNumberFormat="1" applyFont="1" applyFill="1" applyAlignment="1" applyProtection="1">
      <alignment horizontal="center"/>
      <protection locked="0"/>
    </xf>
    <xf numFmtId="199" fontId="115" fillId="0" borderId="0" xfId="61" applyNumberFormat="1" applyFont="1" applyAlignment="1" applyProtection="1">
      <alignment horizontal="justify" vertical="top" wrapText="1"/>
      <protection locked="0"/>
    </xf>
    <xf numFmtId="199" fontId="115" fillId="0" borderId="0" xfId="53" applyNumberFormat="1" applyFont="1" applyAlignment="1" applyProtection="1">
      <alignment horizontal="center" vertical="center"/>
      <protection locked="0"/>
    </xf>
    <xf numFmtId="199" fontId="14" fillId="0" borderId="0" xfId="53" applyNumberFormat="1" applyFont="1" applyAlignment="1" applyProtection="1">
      <alignment horizontal="center"/>
      <protection locked="0"/>
    </xf>
    <xf numFmtId="199" fontId="118" fillId="0" borderId="0" xfId="53" applyNumberFormat="1" applyFont="1" applyAlignment="1" applyProtection="1">
      <alignment horizontal="center"/>
      <protection locked="0"/>
    </xf>
    <xf numFmtId="199" fontId="112" fillId="0" borderId="0" xfId="48" applyNumberFormat="1" applyFont="1" applyProtection="1">
      <protection locked="0"/>
    </xf>
    <xf numFmtId="199" fontId="115" fillId="0" borderId="0" xfId="52" applyNumberFormat="1" applyFont="1" applyBorder="1" applyAlignment="1" applyProtection="1">
      <alignment horizontal="justify" wrapText="1"/>
      <protection locked="0"/>
    </xf>
    <xf numFmtId="199" fontId="115" fillId="0" borderId="0" xfId="53" applyNumberFormat="1" applyFont="1" applyAlignment="1" applyProtection="1">
      <alignment horizontal="right"/>
      <protection locked="0"/>
    </xf>
    <xf numFmtId="4" fontId="84" fillId="14" borderId="0" xfId="3" applyNumberFormat="1" applyFont="1" applyFill="1" applyAlignment="1">
      <alignment horizontal="left" vertical="top" wrapText="1"/>
    </xf>
    <xf numFmtId="4" fontId="139" fillId="14" borderId="0" xfId="3" applyNumberFormat="1" applyFont="1" applyFill="1" applyAlignment="1">
      <alignment vertical="top" wrapText="1"/>
    </xf>
    <xf numFmtId="4" fontId="84" fillId="14" borderId="0" xfId="3" applyNumberFormat="1" applyFont="1" applyFill="1" applyAlignment="1">
      <alignment vertical="top" wrapText="1"/>
    </xf>
    <xf numFmtId="4" fontId="140" fillId="0" borderId="0" xfId="48" applyNumberFormat="1" applyFont="1" applyAlignment="1">
      <alignment vertical="top" wrapText="1"/>
    </xf>
    <xf numFmtId="4" fontId="84" fillId="15" borderId="0" xfId="3" applyNumberFormat="1" applyFont="1" applyFill="1" applyAlignment="1">
      <alignment vertical="top" wrapText="1"/>
    </xf>
    <xf numFmtId="4" fontId="84" fillId="0" borderId="0" xfId="2" applyNumberFormat="1" applyFont="1" applyAlignment="1">
      <alignment horizontal="left" vertical="top" wrapText="1"/>
    </xf>
    <xf numFmtId="4" fontId="84" fillId="0" borderId="0" xfId="2" applyNumberFormat="1" applyFont="1" applyAlignment="1">
      <alignment vertical="top" wrapText="1"/>
    </xf>
    <xf numFmtId="4" fontId="49" fillId="0" borderId="0" xfId="2" applyNumberFormat="1" applyFont="1" applyAlignment="1">
      <alignment vertical="top" wrapText="1"/>
    </xf>
    <xf numFmtId="4" fontId="49" fillId="0" borderId="0" xfId="2" applyNumberFormat="1" applyFont="1" applyAlignment="1">
      <alignment horizontal="left" vertical="top" wrapText="1"/>
    </xf>
    <xf numFmtId="4" fontId="49" fillId="0" borderId="0" xfId="48" applyNumberFormat="1" applyFont="1" applyAlignment="1">
      <alignment vertical="top" wrapText="1"/>
    </xf>
    <xf numFmtId="4" fontId="84" fillId="16" borderId="0" xfId="3" applyNumberFormat="1" applyFont="1" applyFill="1" applyAlignment="1">
      <alignment horizontal="left" vertical="top" wrapText="1"/>
    </xf>
    <xf numFmtId="4" fontId="84" fillId="16" borderId="0" xfId="3" applyNumberFormat="1" applyFont="1" applyFill="1" applyAlignment="1">
      <alignment vertical="top" wrapText="1"/>
    </xf>
    <xf numFmtId="4" fontId="84" fillId="0" borderId="0" xfId="48" applyNumberFormat="1" applyFont="1" applyAlignment="1">
      <alignment vertical="top" wrapText="1"/>
    </xf>
    <xf numFmtId="4" fontId="84" fillId="0" borderId="0" xfId="3" applyNumberFormat="1" applyFont="1" applyAlignment="1">
      <alignment horizontal="left" vertical="top" wrapText="1"/>
    </xf>
    <xf numFmtId="4" fontId="49" fillId="0" borderId="0" xfId="3" applyNumberFormat="1" applyFont="1" applyAlignment="1">
      <alignment vertical="top" wrapText="1"/>
    </xf>
    <xf numFmtId="4" fontId="84" fillId="0" borderId="0" xfId="3" applyNumberFormat="1" applyFont="1" applyAlignment="1">
      <alignment vertical="top" wrapText="1"/>
    </xf>
    <xf numFmtId="0" fontId="84" fillId="0" borderId="0" xfId="48" applyFont="1" applyAlignment="1">
      <alignment horizontal="left" vertical="center" wrapText="1"/>
    </xf>
    <xf numFmtId="0" fontId="19" fillId="0" borderId="0" xfId="48" applyFont="1" applyAlignment="1">
      <alignment horizontal="left" vertical="center" wrapText="1"/>
    </xf>
    <xf numFmtId="4" fontId="139" fillId="0" borderId="0" xfId="2" applyNumberFormat="1" applyFont="1" applyAlignment="1">
      <alignment vertical="top" wrapText="1"/>
    </xf>
    <xf numFmtId="4" fontId="49" fillId="16" borderId="0" xfId="2" applyNumberFormat="1" applyFont="1" applyFill="1" applyAlignment="1">
      <alignment vertical="top" wrapText="1"/>
    </xf>
    <xf numFmtId="4" fontId="49" fillId="16" borderId="0" xfId="2" applyNumberFormat="1" applyFont="1" applyFill="1" applyAlignment="1">
      <alignment horizontal="left" vertical="top" wrapText="1"/>
    </xf>
    <xf numFmtId="4" fontId="141" fillId="16" borderId="0" xfId="3" applyNumberFormat="1" applyFont="1" applyFill="1" applyAlignment="1">
      <alignment vertical="top" wrapText="1"/>
    </xf>
    <xf numFmtId="49" fontId="142" fillId="0" borderId="0" xfId="75" applyNumberFormat="1" applyFont="1" applyAlignment="1">
      <alignment horizontal="right" vertical="top"/>
    </xf>
    <xf numFmtId="0" fontId="142" fillId="0" borderId="0" xfId="76" applyFont="1" applyAlignment="1">
      <alignment horizontal="left" vertical="top" wrapText="1"/>
    </xf>
    <xf numFmtId="0" fontId="142" fillId="0" borderId="0" xfId="77" applyFont="1" applyAlignment="1">
      <alignment horizontal="center"/>
    </xf>
    <xf numFmtId="1" fontId="142" fillId="0" borderId="0" xfId="78" applyNumberFormat="1" applyFont="1" applyAlignment="1">
      <alignment horizontal="right"/>
    </xf>
    <xf numFmtId="204" fontId="142" fillId="0" borderId="0" xfId="76" applyNumberFormat="1" applyFont="1" applyAlignment="1">
      <alignment horizontal="right" wrapText="1"/>
    </xf>
    <xf numFmtId="0" fontId="142" fillId="0" borderId="0" xfId="76" applyFont="1" applyAlignment="1">
      <alignment horizontal="right" vertical="top"/>
    </xf>
    <xf numFmtId="0" fontId="142" fillId="0" borderId="0" xfId="76" applyFont="1" applyAlignment="1">
      <alignment horizontal="justify" vertical="top" wrapText="1"/>
    </xf>
    <xf numFmtId="0" fontId="142" fillId="0" borderId="0" xfId="76" applyFont="1" applyAlignment="1">
      <alignment horizontal="center"/>
    </xf>
    <xf numFmtId="4" fontId="142" fillId="0" borderId="0" xfId="76" applyNumberFormat="1" applyFont="1" applyAlignment="1">
      <alignment horizontal="right"/>
    </xf>
    <xf numFmtId="3" fontId="142" fillId="0" borderId="0" xfId="76" applyNumberFormat="1" applyFont="1" applyAlignment="1">
      <alignment horizontal="right"/>
    </xf>
    <xf numFmtId="4" fontId="84" fillId="16" borderId="0" xfId="48" applyNumberFormat="1" applyFont="1" applyFill="1" applyAlignment="1">
      <alignment vertical="top" wrapText="1"/>
    </xf>
    <xf numFmtId="4" fontId="49" fillId="0" borderId="0" xfId="3" quotePrefix="1" applyNumberFormat="1" applyFont="1" applyAlignment="1">
      <alignment vertical="top" wrapText="1"/>
    </xf>
    <xf numFmtId="0" fontId="109" fillId="0" borderId="0" xfId="76" applyFont="1" applyAlignment="1">
      <alignment horizontal="right" vertical="top"/>
    </xf>
    <xf numFmtId="0" fontId="109" fillId="0" borderId="0" xfId="76" applyFont="1" applyAlignment="1">
      <alignment horizontal="left" vertical="top" wrapText="1"/>
    </xf>
    <xf numFmtId="0" fontId="109" fillId="0" borderId="0" xfId="76" applyFont="1" applyAlignment="1">
      <alignment horizontal="center"/>
    </xf>
    <xf numFmtId="3" fontId="109" fillId="0" borderId="0" xfId="76" applyNumberFormat="1" applyFont="1" applyAlignment="1">
      <alignment horizontal="right"/>
    </xf>
    <xf numFmtId="204" fontId="109" fillId="0" borderId="0" xfId="76" applyNumberFormat="1" applyFont="1" applyAlignment="1">
      <alignment horizontal="right" wrapText="1"/>
    </xf>
    <xf numFmtId="0" fontId="143" fillId="0" borderId="0" xfId="76" applyFont="1" applyAlignment="1">
      <alignment horizontal="right" vertical="top"/>
    </xf>
    <xf numFmtId="0" fontId="143" fillId="0" borderId="0" xfId="76" applyFont="1" applyAlignment="1">
      <alignment horizontal="justify" vertical="top" wrapText="1"/>
    </xf>
    <xf numFmtId="0" fontId="143" fillId="0" borderId="0" xfId="76" applyFont="1" applyAlignment="1">
      <alignment horizontal="center"/>
    </xf>
    <xf numFmtId="3" fontId="144" fillId="0" borderId="0" xfId="76" applyNumberFormat="1" applyFont="1" applyAlignment="1">
      <alignment horizontal="right"/>
    </xf>
    <xf numFmtId="4" fontId="144" fillId="0" borderId="0" xfId="76" applyNumberFormat="1" applyFont="1" applyAlignment="1">
      <alignment horizontal="right"/>
    </xf>
    <xf numFmtId="4" fontId="139" fillId="0" borderId="0" xfId="48" applyNumberFormat="1" applyFont="1" applyAlignment="1">
      <alignment vertical="top" wrapText="1"/>
    </xf>
    <xf numFmtId="204" fontId="146" fillId="0" borderId="34" xfId="76" applyNumberFormat="1" applyFont="1" applyBorder="1"/>
    <xf numFmtId="0" fontId="55" fillId="17" borderId="0" xfId="42" applyFont="1" applyFill="1" applyAlignment="1" applyProtection="1">
      <alignment horizontal="justify" vertical="top" wrapText="1"/>
    </xf>
    <xf numFmtId="4" fontId="140" fillId="0" borderId="0" xfId="48" applyNumberFormat="1" applyFont="1" applyAlignment="1">
      <alignment horizontal="left" wrapText="1"/>
    </xf>
    <xf numFmtId="4" fontId="140" fillId="0" borderId="0" xfId="48" applyNumberFormat="1" applyFont="1" applyAlignment="1">
      <alignment wrapText="1"/>
    </xf>
    <xf numFmtId="4" fontId="56" fillId="0" borderId="14" xfId="48" applyNumberFormat="1" applyFont="1" applyBorder="1" applyAlignment="1">
      <alignment horizontal="center" vertical="center" wrapText="1"/>
    </xf>
    <xf numFmtId="4" fontId="129" fillId="0" borderId="14" xfId="48" applyNumberFormat="1" applyFont="1" applyBorder="1" applyAlignment="1">
      <alignment horizontal="center" vertical="center" wrapText="1"/>
    </xf>
    <xf numFmtId="4" fontId="23" fillId="0" borderId="14" xfId="48" applyNumberFormat="1" applyFont="1" applyBorder="1" applyAlignment="1">
      <alignment horizontal="center" vertical="center" wrapText="1"/>
    </xf>
    <xf numFmtId="4" fontId="18" fillId="0" borderId="0" xfId="48" applyNumberFormat="1" applyFont="1" applyAlignment="1">
      <alignment horizontal="center" vertical="center"/>
    </xf>
    <xf numFmtId="4" fontId="18" fillId="0" borderId="0" xfId="48" applyNumberFormat="1" applyFont="1" applyAlignment="1">
      <alignment horizontal="left"/>
    </xf>
    <xf numFmtId="4" fontId="56" fillId="0" borderId="0" xfId="48" applyNumberFormat="1" applyFont="1" applyAlignment="1">
      <alignment horizontal="center" vertical="top" wrapText="1"/>
    </xf>
    <xf numFmtId="4" fontId="129" fillId="0" borderId="0" xfId="48" applyNumberFormat="1" applyFont="1" applyAlignment="1">
      <alignment horizontal="justify" vertical="center" wrapText="1"/>
    </xf>
    <xf numFmtId="4" fontId="23" fillId="0" borderId="0" xfId="48" applyNumberFormat="1" applyFont="1" applyAlignment="1">
      <alignment horizontal="center"/>
    </xf>
    <xf numFmtId="4" fontId="129" fillId="0" borderId="0" xfId="48" applyNumberFormat="1" applyFont="1" applyAlignment="1">
      <alignment horizontal="center"/>
    </xf>
    <xf numFmtId="4" fontId="18" fillId="0" borderId="0" xfId="48" applyNumberFormat="1" applyFont="1" applyAlignment="1">
      <alignment horizontal="justify" vertical="center"/>
    </xf>
    <xf numFmtId="4" fontId="56" fillId="12" borderId="0" xfId="48" applyNumberFormat="1" applyFont="1" applyFill="1" applyAlignment="1">
      <alignment horizontal="center" vertical="top"/>
    </xf>
    <xf numFmtId="4" fontId="129" fillId="12" borderId="0" xfId="48" applyNumberFormat="1" applyFont="1" applyFill="1" applyAlignment="1">
      <alignment horizontal="justify" vertical="center" wrapText="1"/>
    </xf>
    <xf numFmtId="4" fontId="23" fillId="12" borderId="0" xfId="48" applyNumberFormat="1" applyFont="1" applyFill="1" applyAlignment="1">
      <alignment horizontal="center"/>
    </xf>
    <xf numFmtId="165" fontId="129" fillId="12" borderId="0" xfId="48" applyNumberFormat="1" applyFont="1" applyFill="1" applyAlignment="1">
      <alignment horizontal="center"/>
    </xf>
    <xf numFmtId="4" fontId="56" fillId="0" borderId="0" xfId="48" applyNumberFormat="1" applyFont="1" applyAlignment="1">
      <alignment horizontal="center" vertical="top"/>
    </xf>
    <xf numFmtId="165" fontId="129" fillId="0" borderId="0" xfId="48" applyNumberFormat="1" applyFont="1" applyAlignment="1">
      <alignment horizontal="center"/>
    </xf>
    <xf numFmtId="4" fontId="18" fillId="0" borderId="0" xfId="48" applyNumberFormat="1" applyFont="1" applyAlignment="1">
      <alignment horizontal="justify" vertical="center" wrapText="1"/>
    </xf>
    <xf numFmtId="165" fontId="18" fillId="0" borderId="0" xfId="48" applyNumberFormat="1" applyFont="1" applyAlignment="1">
      <alignment horizontal="center"/>
    </xf>
    <xf numFmtId="4" fontId="56" fillId="0" borderId="0" xfId="48" applyNumberFormat="1" applyFont="1" applyAlignment="1">
      <alignment horizontal="center" vertical="center"/>
    </xf>
    <xf numFmtId="4" fontId="18" fillId="0" borderId="0" xfId="48" applyNumberFormat="1" applyFont="1" applyAlignment="1">
      <alignment horizontal="justify" vertical="top" wrapText="1"/>
    </xf>
    <xf numFmtId="4" fontId="23" fillId="0" borderId="0" xfId="48" applyNumberFormat="1" applyFont="1" applyAlignment="1">
      <alignment horizontal="center" vertical="center"/>
    </xf>
    <xf numFmtId="0" fontId="18" fillId="0" borderId="0" xfId="48" applyFont="1" applyAlignment="1">
      <alignment vertical="top" wrapText="1"/>
    </xf>
    <xf numFmtId="4" fontId="56" fillId="0" borderId="0" xfId="48" applyNumberFormat="1" applyFont="1" applyAlignment="1">
      <alignment horizontal="justify" vertical="center"/>
    </xf>
    <xf numFmtId="0" fontId="18" fillId="0" borderId="0" xfId="48" applyFont="1" applyAlignment="1">
      <alignment horizontal="left" vertical="top" wrapText="1"/>
    </xf>
    <xf numFmtId="4" fontId="18" fillId="0" borderId="7" xfId="48" applyNumberFormat="1" applyFont="1" applyBorder="1" applyAlignment="1">
      <alignment horizontal="justify" vertical="center" wrapText="1"/>
    </xf>
    <xf numFmtId="0" fontId="129" fillId="0" borderId="0" xfId="48" applyFont="1" applyAlignment="1">
      <alignment vertical="top" wrapText="1"/>
    </xf>
    <xf numFmtId="4" fontId="129" fillId="12" borderId="0" xfId="48" applyNumberFormat="1" applyFont="1" applyFill="1" applyAlignment="1">
      <alignment vertical="center" wrapText="1"/>
    </xf>
    <xf numFmtId="4" fontId="23" fillId="12" borderId="0" xfId="48" applyNumberFormat="1" applyFont="1" applyFill="1" applyAlignment="1">
      <alignment horizontal="center" vertical="center" wrapText="1"/>
    </xf>
    <xf numFmtId="4" fontId="129" fillId="0" borderId="0" xfId="48" applyNumberFormat="1" applyFont="1" applyAlignment="1">
      <alignment horizontal="justify" vertical="center"/>
    </xf>
    <xf numFmtId="4" fontId="129" fillId="0" borderId="0" xfId="48" applyNumberFormat="1" applyFont="1" applyAlignment="1">
      <alignment horizontal="left"/>
    </xf>
    <xf numFmtId="0" fontId="129" fillId="0" borderId="0" xfId="48" applyFont="1" applyAlignment="1">
      <alignment horizontal="left" vertical="center" wrapText="1"/>
    </xf>
    <xf numFmtId="0" fontId="18" fillId="0" borderId="0" xfId="48" applyFont="1" applyAlignment="1">
      <alignment horizontal="left" vertical="center" wrapText="1"/>
    </xf>
    <xf numFmtId="4" fontId="129" fillId="0" borderId="0" xfId="48" applyNumberFormat="1" applyFont="1" applyAlignment="1">
      <alignment horizontal="left" wrapText="1"/>
    </xf>
    <xf numFmtId="4" fontId="18" fillId="0" borderId="0" xfId="48" applyNumberFormat="1" applyFont="1" applyAlignment="1">
      <alignment horizontal="center"/>
    </xf>
    <xf numFmtId="4" fontId="23" fillId="0" borderId="0" xfId="48" applyNumberFormat="1" applyFont="1" applyAlignment="1">
      <alignment horizontal="justify" vertical="top" wrapText="1"/>
    </xf>
    <xf numFmtId="0" fontId="18" fillId="0" borderId="0" xfId="48" applyFont="1" applyAlignment="1">
      <alignment horizontal="left" wrapText="1"/>
    </xf>
    <xf numFmtId="49" fontId="56" fillId="12" borderId="0" xfId="48" applyNumberFormat="1" applyFont="1" applyFill="1" applyAlignment="1">
      <alignment horizontal="center" vertical="top"/>
    </xf>
    <xf numFmtId="165" fontId="18" fillId="12" borderId="0" xfId="48" applyNumberFormat="1" applyFont="1" applyFill="1" applyAlignment="1">
      <alignment horizontal="center"/>
    </xf>
    <xf numFmtId="49" fontId="56" fillId="0" borderId="0" xfId="48" applyNumberFormat="1" applyFont="1" applyAlignment="1">
      <alignment horizontal="center" vertical="top"/>
    </xf>
    <xf numFmtId="4" fontId="18" fillId="0" borderId="0" xfId="48" applyNumberFormat="1" applyFont="1" applyAlignment="1">
      <alignment horizontal="left" vertical="top" wrapText="1"/>
    </xf>
    <xf numFmtId="0" fontId="18" fillId="0" borderId="0" xfId="68" applyFont="1">
      <alignment horizontal="justify" vertical="top" wrapText="1"/>
    </xf>
    <xf numFmtId="4" fontId="23" fillId="0" borderId="0" xfId="69" applyFont="1" applyAlignment="1">
      <alignment horizontal="center"/>
    </xf>
    <xf numFmtId="4" fontId="23" fillId="0" borderId="0" xfId="71" applyNumberFormat="1" applyFont="1" applyAlignment="1">
      <alignment horizontal="center"/>
    </xf>
    <xf numFmtId="4" fontId="129" fillId="0" borderId="0" xfId="48" applyNumberFormat="1" applyFont="1" applyAlignment="1">
      <alignment horizontal="justify" vertical="top" wrapText="1"/>
    </xf>
    <xf numFmtId="4" fontId="88" fillId="0" borderId="0" xfId="69" applyFont="1">
      <alignment horizontal="right"/>
    </xf>
    <xf numFmtId="4" fontId="129" fillId="12" borderId="0" xfId="48" applyNumberFormat="1" applyFont="1" applyFill="1" applyAlignment="1">
      <alignment horizontal="left" vertical="center" wrapText="1"/>
    </xf>
    <xf numFmtId="4" fontId="129" fillId="0" borderId="0" xfId="48" applyNumberFormat="1" applyFont="1" applyAlignment="1">
      <alignment horizontal="left" vertical="center" wrapText="1"/>
    </xf>
    <xf numFmtId="4" fontId="18" fillId="0" borderId="0" xfId="48" applyNumberFormat="1" applyFont="1" applyAlignment="1">
      <alignment horizontal="left" vertical="center" wrapText="1"/>
    </xf>
    <xf numFmtId="0" fontId="133" fillId="0" borderId="0" xfId="48" applyFont="1" applyAlignment="1">
      <alignment horizontal="left" vertical="top" wrapText="1"/>
    </xf>
    <xf numFmtId="4" fontId="23" fillId="0" borderId="0" xfId="48" applyNumberFormat="1" applyFont="1" applyAlignment="1">
      <alignment horizontal="center" vertical="center" wrapText="1"/>
    </xf>
    <xf numFmtId="0" fontId="18" fillId="0" borderId="0" xfId="48" applyFont="1"/>
    <xf numFmtId="4" fontId="129" fillId="12" borderId="0" xfId="48" applyNumberFormat="1" applyFont="1" applyFill="1" applyAlignment="1">
      <alignment vertical="center"/>
    </xf>
    <xf numFmtId="0" fontId="23" fillId="0" borderId="0" xfId="48" applyFont="1" applyAlignment="1">
      <alignment horizontal="center"/>
    </xf>
    <xf numFmtId="4" fontId="133" fillId="0" borderId="0" xfId="48" applyNumberFormat="1" applyFont="1" applyAlignment="1">
      <alignment horizontal="justify" vertical="center" wrapText="1"/>
    </xf>
    <xf numFmtId="4" fontId="133" fillId="0" borderId="0" xfId="48" applyNumberFormat="1" applyFont="1" applyAlignment="1">
      <alignment horizontal="justify" vertical="top" wrapText="1"/>
    </xf>
    <xf numFmtId="4" fontId="23" fillId="0" borderId="0" xfId="48" applyNumberFormat="1" applyFont="1" applyAlignment="1">
      <alignment horizontal="left" vertical="top" wrapText="1"/>
    </xf>
    <xf numFmtId="0" fontId="56" fillId="0" borderId="0" xfId="48" applyFont="1" applyAlignment="1">
      <alignment horizontal="center" vertical="top"/>
    </xf>
    <xf numFmtId="0" fontId="23" fillId="0" borderId="0" xfId="48" applyFont="1" applyAlignment="1">
      <alignment vertical="top" wrapText="1"/>
    </xf>
    <xf numFmtId="4" fontId="129" fillId="0" borderId="0" xfId="48" applyNumberFormat="1" applyFont="1" applyAlignment="1">
      <alignment horizontal="center" vertical="top"/>
    </xf>
    <xf numFmtId="4" fontId="129" fillId="0" borderId="0" xfId="48" applyNumberFormat="1" applyFont="1" applyAlignment="1">
      <alignment vertical="center" wrapText="1"/>
    </xf>
    <xf numFmtId="1" fontId="56" fillId="0" borderId="0" xfId="48" applyNumberFormat="1" applyFont="1" applyAlignment="1">
      <alignment horizontal="center" vertical="top"/>
    </xf>
    <xf numFmtId="4" fontId="131" fillId="0" borderId="0" xfId="48" applyNumberFormat="1" applyFont="1" applyAlignment="1">
      <alignment horizontal="justify" vertical="center" wrapText="1"/>
    </xf>
    <xf numFmtId="0" fontId="18" fillId="0" borderId="0" xfId="48" applyFont="1" applyAlignment="1">
      <alignment horizontal="left"/>
    </xf>
    <xf numFmtId="1" fontId="129" fillId="0" borderId="0" xfId="48" applyNumberFormat="1" applyFont="1" applyAlignment="1">
      <alignment horizontal="center" vertical="top"/>
    </xf>
    <xf numFmtId="4" fontId="131" fillId="0" borderId="0" xfId="48" applyNumberFormat="1" applyFont="1" applyAlignment="1">
      <alignment horizontal="justify" vertical="top" wrapText="1"/>
    </xf>
    <xf numFmtId="3" fontId="23" fillId="0" borderId="0" xfId="48" applyNumberFormat="1" applyFont="1" applyAlignment="1">
      <alignment horizontal="center"/>
    </xf>
    <xf numFmtId="1" fontId="18" fillId="0" borderId="0" xfId="48" applyNumberFormat="1" applyFont="1" applyAlignment="1">
      <alignment horizontal="center" vertical="top"/>
    </xf>
    <xf numFmtId="4" fontId="18" fillId="0" borderId="0" xfId="48" applyNumberFormat="1" applyFont="1" applyAlignment="1">
      <alignment horizontal="left" wrapText="1"/>
    </xf>
    <xf numFmtId="4" fontId="18" fillId="0" borderId="0" xfId="48" quotePrefix="1" applyNumberFormat="1" applyFont="1" applyAlignment="1">
      <alignment horizontal="justify" vertical="top" wrapText="1"/>
    </xf>
    <xf numFmtId="4" fontId="131" fillId="0" borderId="0" xfId="48" quotePrefix="1" applyNumberFormat="1" applyFont="1" applyAlignment="1">
      <alignment horizontal="justify" vertical="top" wrapText="1"/>
    </xf>
    <xf numFmtId="4" fontId="23" fillId="0" borderId="0" xfId="48" applyNumberFormat="1" applyFont="1" applyAlignment="1">
      <alignment horizontal="left"/>
    </xf>
    <xf numFmtId="0" fontId="134" fillId="0" borderId="0" xfId="48" applyFont="1" applyAlignment="1">
      <alignment horizontal="left" vertical="top"/>
    </xf>
    <xf numFmtId="0" fontId="117" fillId="0" borderId="0" xfId="48" applyFont="1" applyAlignment="1">
      <alignment horizontal="center" wrapText="1"/>
    </xf>
    <xf numFmtId="3" fontId="135" fillId="0" borderId="0" xfId="48" applyNumberFormat="1" applyFont="1" applyAlignment="1">
      <alignment horizontal="center" wrapText="1"/>
    </xf>
    <xf numFmtId="0" fontId="23" fillId="0" borderId="0" xfId="48" applyFont="1" applyAlignment="1">
      <alignment horizontal="center" vertical="top" wrapText="1"/>
    </xf>
    <xf numFmtId="4" fontId="23" fillId="0" borderId="7" xfId="48" applyNumberFormat="1" applyFont="1" applyBorder="1" applyAlignment="1">
      <alignment horizontal="center"/>
    </xf>
    <xf numFmtId="165" fontId="129" fillId="0" borderId="7" xfId="48" applyNumberFormat="1" applyFont="1" applyBorder="1" applyAlignment="1">
      <alignment horizontal="center"/>
    </xf>
    <xf numFmtId="165" fontId="23" fillId="0" borderId="0" xfId="73" applyFont="1" applyBorder="1" applyProtection="1"/>
    <xf numFmtId="165" fontId="18" fillId="0" borderId="0" xfId="73" applyFont="1" applyBorder="1" applyProtection="1"/>
    <xf numFmtId="4" fontId="23" fillId="0" borderId="7" xfId="48" applyNumberFormat="1" applyFont="1" applyBorder="1" applyAlignment="1">
      <alignment horizontal="center" vertical="center"/>
    </xf>
    <xf numFmtId="165" fontId="18" fillId="0" borderId="7" xfId="73" applyFont="1" applyBorder="1" applyProtection="1"/>
    <xf numFmtId="4" fontId="18" fillId="0" borderId="16" xfId="48" applyNumberFormat="1" applyFont="1" applyBorder="1" applyAlignment="1">
      <alignment horizontal="justify" vertical="center" wrapText="1"/>
    </xf>
    <xf numFmtId="4" fontId="23" fillId="0" borderId="16" xfId="48" applyNumberFormat="1" applyFont="1" applyBorder="1" applyAlignment="1">
      <alignment horizontal="center"/>
    </xf>
    <xf numFmtId="165" fontId="129" fillId="0" borderId="16" xfId="48" applyNumberFormat="1" applyFont="1" applyBorder="1" applyAlignment="1">
      <alignment horizontal="center"/>
    </xf>
    <xf numFmtId="3" fontId="55" fillId="0" borderId="20" xfId="48" applyNumberFormat="1" applyFont="1" applyBorder="1" applyAlignment="1">
      <alignment horizontal="center" vertical="center"/>
    </xf>
    <xf numFmtId="3" fontId="55" fillId="0" borderId="23" xfId="48" applyNumberFormat="1" applyFont="1" applyBorder="1" applyAlignment="1">
      <alignment horizontal="center" vertical="center"/>
    </xf>
    <xf numFmtId="4" fontId="55" fillId="0" borderId="26" xfId="48" applyNumberFormat="1" applyFont="1" applyBorder="1" applyAlignment="1">
      <alignment horizontal="center" vertical="center"/>
    </xf>
    <xf numFmtId="4" fontId="138" fillId="0" borderId="29" xfId="48" applyNumberFormat="1" applyFont="1" applyBorder="1" applyAlignment="1">
      <alignment horizontal="center" vertical="center"/>
    </xf>
    <xf numFmtId="4" fontId="18" fillId="0" borderId="0" xfId="48" applyNumberFormat="1" applyFont="1" applyAlignment="1">
      <alignment horizontal="center" shrinkToFit="1"/>
    </xf>
    <xf numFmtId="4" fontId="129" fillId="0" borderId="0" xfId="48" applyNumberFormat="1" applyFont="1" applyAlignment="1">
      <alignment horizontal="center" shrinkToFit="1"/>
    </xf>
    <xf numFmtId="4" fontId="18" fillId="0" borderId="0" xfId="48" applyNumberFormat="1" applyFont="1" applyAlignment="1">
      <alignment horizontal="center" wrapText="1"/>
    </xf>
    <xf numFmtId="4" fontId="23" fillId="0" borderId="0" xfId="74" applyNumberFormat="1" applyFont="1" applyFill="1" applyAlignment="1" applyProtection="1">
      <alignment horizontal="center"/>
    </xf>
    <xf numFmtId="4" fontId="23" fillId="0" borderId="0" xfId="74" applyNumberFormat="1" applyFont="1" applyFill="1" applyBorder="1" applyAlignment="1" applyProtection="1">
      <alignment horizontal="center" shrinkToFit="1"/>
    </xf>
    <xf numFmtId="4" fontId="18" fillId="0" borderId="0" xfId="48" applyNumberFormat="1" applyFont="1" applyAlignment="1">
      <alignment horizontal="justify" vertical="top"/>
    </xf>
    <xf numFmtId="4" fontId="129" fillId="0" borderId="0" xfId="48" applyNumberFormat="1" applyFont="1" applyAlignment="1">
      <alignment horizontal="justify" vertical="top"/>
    </xf>
    <xf numFmtId="4" fontId="23" fillId="0" borderId="0" xfId="48" applyNumberFormat="1" applyFont="1" applyAlignment="1">
      <alignment horizontal="center" shrinkToFit="1"/>
    </xf>
    <xf numFmtId="4" fontId="23" fillId="0" borderId="0" xfId="74" applyNumberFormat="1" applyFont="1" applyFill="1" applyBorder="1" applyAlignment="1" applyProtection="1">
      <alignment horizontal="center"/>
    </xf>
    <xf numFmtId="4" fontId="129" fillId="0" borderId="0" xfId="74" applyNumberFormat="1" applyFont="1" applyFill="1" applyBorder="1" applyAlignment="1" applyProtection="1">
      <alignment horizontal="center"/>
    </xf>
    <xf numFmtId="4" fontId="18" fillId="0" borderId="0" xfId="48" applyNumberFormat="1" applyFont="1" applyAlignment="1">
      <alignment horizontal="justify" wrapText="1"/>
    </xf>
    <xf numFmtId="4" fontId="129" fillId="0" borderId="0" xfId="48" applyNumberFormat="1" applyFont="1" applyAlignment="1">
      <alignment horizontal="justify"/>
    </xf>
    <xf numFmtId="4" fontId="18" fillId="0" borderId="0" xfId="48" applyNumberFormat="1" applyFont="1" applyAlignment="1">
      <alignment horizontal="justify"/>
    </xf>
    <xf numFmtId="4" fontId="129" fillId="0" borderId="0" xfId="48" applyNumberFormat="1" applyFont="1" applyAlignment="1">
      <alignment horizontal="justify" wrapText="1"/>
    </xf>
    <xf numFmtId="4" fontId="23" fillId="0" borderId="0" xfId="48" applyNumberFormat="1" applyFont="1" applyAlignment="1" applyProtection="1">
      <alignment horizontal="center" vertical="center"/>
      <protection locked="0"/>
    </xf>
    <xf numFmtId="4" fontId="23" fillId="12" borderId="0" xfId="48" applyNumberFormat="1" applyFont="1" applyFill="1" applyAlignment="1" applyProtection="1">
      <alignment horizontal="center" vertical="center" wrapText="1"/>
      <protection locked="0"/>
    </xf>
    <xf numFmtId="4" fontId="23" fillId="12" borderId="0" xfId="48" applyNumberFormat="1" applyFont="1" applyFill="1" applyAlignment="1" applyProtection="1">
      <alignment horizontal="center"/>
      <protection locked="0"/>
    </xf>
    <xf numFmtId="4" fontId="23" fillId="0" borderId="0" xfId="70" applyFont="1" applyAlignment="1">
      <alignment horizontal="center"/>
      <protection locked="0"/>
    </xf>
    <xf numFmtId="4" fontId="23" fillId="0" borderId="0" xfId="48" applyNumberFormat="1" applyFont="1" applyAlignment="1" applyProtection="1">
      <alignment horizontal="center" vertical="center" wrapText="1"/>
      <protection locked="0"/>
    </xf>
    <xf numFmtId="4" fontId="18" fillId="0" borderId="0" xfId="48" applyNumberFormat="1" applyFont="1" applyAlignment="1" applyProtection="1">
      <alignment horizontal="center" vertical="center"/>
      <protection locked="0"/>
    </xf>
    <xf numFmtId="4" fontId="135" fillId="0" borderId="0" xfId="48" applyNumberFormat="1" applyFont="1" applyAlignment="1" applyProtection="1">
      <alignment horizontal="center" wrapText="1"/>
      <protection locked="0"/>
    </xf>
    <xf numFmtId="0" fontId="23" fillId="0" borderId="0" xfId="48" applyFont="1" applyAlignment="1" applyProtection="1">
      <alignment horizontal="center" vertical="top" wrapText="1"/>
      <protection locked="0"/>
    </xf>
    <xf numFmtId="4" fontId="23" fillId="0" borderId="7" xfId="48" applyNumberFormat="1" applyFont="1" applyBorder="1" applyAlignment="1" applyProtection="1">
      <alignment horizontal="center"/>
      <protection locked="0"/>
    </xf>
    <xf numFmtId="4" fontId="23" fillId="0" borderId="16" xfId="48" applyNumberFormat="1" applyFont="1" applyBorder="1" applyAlignment="1" applyProtection="1">
      <alignment horizontal="center"/>
      <protection locked="0"/>
    </xf>
    <xf numFmtId="0" fontId="52" fillId="0" borderId="0" xfId="119" applyFont="1" applyAlignment="1" applyProtection="1">
      <alignment horizontal="center" vertical="top"/>
      <protection locked="0"/>
    </xf>
    <xf numFmtId="0" fontId="52" fillId="0" borderId="0" xfId="119" applyFont="1" applyAlignment="1" applyProtection="1">
      <alignment horizontal="center" vertical="top" wrapText="1"/>
      <protection locked="0"/>
    </xf>
    <xf numFmtId="0" fontId="221" fillId="0" borderId="7" xfId="119" applyFont="1" applyBorder="1" applyAlignment="1" applyProtection="1">
      <alignment horizontal="center" vertical="top" wrapText="1"/>
      <protection locked="0"/>
    </xf>
    <xf numFmtId="49" fontId="91" fillId="0" borderId="0" xfId="119" applyNumberFormat="1" applyFont="1" applyAlignment="1" applyProtection="1">
      <alignment horizontal="center" vertical="top"/>
      <protection locked="0"/>
    </xf>
    <xf numFmtId="213" fontId="31" fillId="0" borderId="0" xfId="120" applyFont="1" applyFill="1" applyBorder="1" applyAlignment="1" applyProtection="1">
      <alignment horizontal="center" vertical="top" wrapText="1"/>
      <protection locked="0"/>
    </xf>
    <xf numFmtId="0" fontId="20" fillId="0" borderId="0" xfId="119" applyFont="1" applyAlignment="1" applyProtection="1">
      <alignment vertical="top"/>
      <protection locked="0"/>
    </xf>
    <xf numFmtId="214" fontId="52" fillId="0" borderId="0" xfId="119" applyNumberFormat="1" applyFont="1" applyAlignment="1" applyProtection="1">
      <alignment horizontal="center" vertical="top"/>
      <protection locked="0"/>
    </xf>
    <xf numFmtId="214" fontId="52" fillId="0" borderId="0" xfId="119" applyNumberFormat="1" applyFont="1" applyAlignment="1" applyProtection="1">
      <alignment horizontal="right" vertical="top"/>
      <protection locked="0"/>
    </xf>
    <xf numFmtId="0" fontId="20" fillId="0" borderId="0" xfId="119" applyFont="1" applyAlignment="1" applyProtection="1">
      <alignment horizontal="center" vertical="top"/>
      <protection locked="0"/>
    </xf>
    <xf numFmtId="214" fontId="20" fillId="0" borderId="0" xfId="119" applyNumberFormat="1" applyFont="1" applyAlignment="1" applyProtection="1">
      <alignment horizontal="center" vertical="top"/>
      <protection locked="0"/>
    </xf>
    <xf numFmtId="4" fontId="20" fillId="0" borderId="0" xfId="119" applyNumberFormat="1" applyFont="1" applyAlignment="1" applyProtection="1">
      <alignment horizontal="center" vertical="top"/>
      <protection locked="0"/>
    </xf>
    <xf numFmtId="199" fontId="20" fillId="0" borderId="0" xfId="119" applyNumberFormat="1" applyFont="1" applyAlignment="1" applyProtection="1">
      <alignment horizontal="center" vertical="top"/>
      <protection locked="0"/>
    </xf>
    <xf numFmtId="0" fontId="20" fillId="0" borderId="0" xfId="119" applyFont="1" applyAlignment="1" applyProtection="1">
      <alignment horizontal="center" vertical="top" wrapText="1"/>
      <protection locked="0"/>
    </xf>
    <xf numFmtId="199" fontId="20" fillId="0" borderId="9" xfId="119" applyNumberFormat="1" applyFont="1" applyBorder="1" applyAlignment="1" applyProtection="1">
      <alignment horizontal="center" vertical="top"/>
      <protection locked="0"/>
    </xf>
    <xf numFmtId="180" fontId="52" fillId="0" borderId="0" xfId="119" applyNumberFormat="1" applyFont="1" applyAlignment="1" applyProtection="1">
      <alignment horizontal="center" vertical="top"/>
      <protection locked="0"/>
    </xf>
    <xf numFmtId="4" fontId="20" fillId="0" borderId="7" xfId="119" applyNumberFormat="1" applyFont="1" applyBorder="1" applyAlignment="1" applyProtection="1">
      <alignment horizontal="center" vertical="top"/>
      <protection locked="0"/>
    </xf>
    <xf numFmtId="4" fontId="150" fillId="0" borderId="0" xfId="41" applyNumberFormat="1" applyFont="1"/>
    <xf numFmtId="0" fontId="149" fillId="0" borderId="0" xfId="41" applyFont="1"/>
    <xf numFmtId="0" fontId="149" fillId="0" borderId="0" xfId="41" applyFont="1" applyAlignment="1">
      <alignment vertical="top" wrapText="1"/>
    </xf>
    <xf numFmtId="0" fontId="149" fillId="0" borderId="0" xfId="41" applyFont="1" applyAlignment="1">
      <alignment horizontal="right"/>
    </xf>
    <xf numFmtId="1" fontId="149" fillId="0" borderId="0" xfId="41" applyNumberFormat="1" applyFont="1"/>
    <xf numFmtId="49" fontId="149" fillId="0" borderId="0" xfId="41" applyNumberFormat="1" applyFont="1" applyAlignment="1">
      <alignment horizontal="left" vertical="top"/>
    </xf>
    <xf numFmtId="0" fontId="151" fillId="0" borderId="0" xfId="41" applyFont="1" applyAlignment="1">
      <alignment horizontal="left" vertical="top" wrapText="1" indent="3"/>
    </xf>
    <xf numFmtId="0" fontId="152" fillId="0" borderId="0" xfId="41" applyFont="1" applyAlignment="1">
      <alignment vertical="top" wrapText="1"/>
    </xf>
    <xf numFmtId="0" fontId="151" fillId="0" borderId="0" xfId="41" applyFont="1" applyAlignment="1">
      <alignment horizontal="left" vertical="top" wrapText="1"/>
    </xf>
    <xf numFmtId="49" fontId="151" fillId="0" borderId="0" xfId="41" applyNumberFormat="1" applyFont="1" applyAlignment="1">
      <alignment horizontal="left" vertical="top" wrapText="1" indent="3"/>
    </xf>
    <xf numFmtId="0" fontId="149" fillId="0" borderId="0" xfId="41" applyFont="1" applyAlignment="1">
      <alignment horizontal="left" vertical="top" wrapText="1" indent="3"/>
    </xf>
    <xf numFmtId="49" fontId="155" fillId="0" borderId="0" xfId="41" applyNumberFormat="1" applyFont="1" applyAlignment="1">
      <alignment horizontal="center" vertical="top" wrapText="1"/>
    </xf>
    <xf numFmtId="0" fontId="149" fillId="0" borderId="0" xfId="41" applyFont="1" applyAlignment="1">
      <alignment horizontal="left" wrapText="1"/>
    </xf>
    <xf numFmtId="0" fontId="151" fillId="0" borderId="0" xfId="41" applyFont="1"/>
    <xf numFmtId="49" fontId="156" fillId="0" borderId="0" xfId="41" applyNumberFormat="1" applyFont="1" applyAlignment="1">
      <alignment horizontal="left" vertical="top"/>
    </xf>
    <xf numFmtId="0" fontId="156" fillId="0" borderId="0" xfId="41" applyFont="1" applyAlignment="1">
      <alignment vertical="top" wrapText="1"/>
    </xf>
    <xf numFmtId="0" fontId="156" fillId="0" borderId="0" xfId="41" applyFont="1" applyAlignment="1">
      <alignment horizontal="right"/>
    </xf>
    <xf numFmtId="1" fontId="156" fillId="0" borderId="0" xfId="41" applyNumberFormat="1" applyFont="1"/>
    <xf numFmtId="4" fontId="157" fillId="0" borderId="0" xfId="41" applyNumberFormat="1" applyFont="1"/>
    <xf numFmtId="0" fontId="156" fillId="0" borderId="0" xfId="41" applyFont="1"/>
    <xf numFmtId="49" fontId="158" fillId="0" borderId="0" xfId="41" applyNumberFormat="1" applyFont="1" applyAlignment="1">
      <alignment horizontal="left" vertical="top"/>
    </xf>
    <xf numFmtId="0" fontId="158" fillId="0" borderId="0" xfId="41" applyFont="1" applyAlignment="1">
      <alignment horizontal="left" vertical="top" wrapText="1"/>
    </xf>
    <xf numFmtId="0" fontId="158" fillId="0" borderId="0" xfId="41" applyFont="1"/>
    <xf numFmtId="0" fontId="158" fillId="0" borderId="0" xfId="41" applyFont="1" applyAlignment="1">
      <alignment vertical="top" wrapText="1"/>
    </xf>
    <xf numFmtId="0" fontId="158" fillId="0" borderId="0" xfId="41" applyFont="1" applyAlignment="1">
      <alignment horizontal="right"/>
    </xf>
    <xf numFmtId="1" fontId="158" fillId="0" borderId="0" xfId="41" applyNumberFormat="1" applyFont="1"/>
    <xf numFmtId="4" fontId="159" fillId="0" borderId="0" xfId="41" applyNumberFormat="1" applyFont="1"/>
    <xf numFmtId="49" fontId="158" fillId="0" borderId="0" xfId="41" applyNumberFormat="1" applyFont="1" applyAlignment="1">
      <alignment horizontal="left"/>
    </xf>
    <xf numFmtId="16" fontId="135" fillId="0" borderId="0" xfId="41" applyNumberFormat="1" applyFont="1" applyAlignment="1">
      <alignment horizontal="left" vertical="top"/>
    </xf>
    <xf numFmtId="0" fontId="135" fillId="0" borderId="0" xfId="41" applyFont="1" applyAlignment="1">
      <alignment horizontal="left" vertical="top" wrapText="1"/>
    </xf>
    <xf numFmtId="0" fontId="135" fillId="0" borderId="0" xfId="41" applyFont="1" applyAlignment="1">
      <alignment horizontal="left" vertical="top"/>
    </xf>
    <xf numFmtId="0" fontId="135" fillId="0" borderId="0" xfId="41" applyFont="1" applyAlignment="1">
      <alignment horizontal="right" vertical="top"/>
    </xf>
    <xf numFmtId="49" fontId="46" fillId="0" borderId="0" xfId="41" applyNumberFormat="1" applyFont="1" applyAlignment="1">
      <alignment horizontal="left" vertical="top"/>
    </xf>
    <xf numFmtId="0" fontId="149" fillId="0" borderId="0" xfId="41" applyFont="1" applyAlignment="1">
      <alignment horizontal="left" vertical="top" wrapText="1"/>
    </xf>
    <xf numFmtId="0" fontId="158" fillId="18" borderId="0" xfId="41" applyFont="1" applyFill="1"/>
    <xf numFmtId="49" fontId="158" fillId="0" borderId="9" xfId="41" applyNumberFormat="1" applyFont="1" applyBorder="1" applyAlignment="1">
      <alignment horizontal="left" vertical="top" wrapText="1"/>
    </xf>
    <xf numFmtId="0" fontId="161" fillId="0" borderId="9" xfId="41" applyFont="1" applyBorder="1" applyAlignment="1">
      <alignment vertical="top" wrapText="1"/>
    </xf>
    <xf numFmtId="0" fontId="158" fillId="0" borderId="9" xfId="41" applyFont="1" applyBorder="1" applyAlignment="1">
      <alignment horizontal="center"/>
    </xf>
    <xf numFmtId="0" fontId="158" fillId="0" borderId="9" xfId="41" applyFont="1" applyBorder="1"/>
    <xf numFmtId="199" fontId="158" fillId="0" borderId="9" xfId="41" applyNumberFormat="1" applyFont="1" applyBorder="1"/>
    <xf numFmtId="199" fontId="160" fillId="18" borderId="9" xfId="41" applyNumberFormat="1" applyFont="1" applyFill="1" applyBorder="1" applyAlignment="1">
      <alignment horizontal="center" vertical="top" wrapText="1"/>
    </xf>
    <xf numFmtId="49" fontId="158" fillId="0" borderId="9" xfId="41" applyNumberFormat="1" applyFont="1" applyBorder="1" applyAlignment="1">
      <alignment horizontal="left" vertical="top"/>
    </xf>
    <xf numFmtId="0" fontId="46" fillId="0" borderId="9" xfId="41" applyFont="1" applyBorder="1" applyAlignment="1">
      <alignment horizontal="left" vertical="top" wrapText="1"/>
    </xf>
    <xf numFmtId="0" fontId="149" fillId="18" borderId="0" xfId="41" applyFont="1" applyFill="1"/>
    <xf numFmtId="0" fontId="161" fillId="0" borderId="9" xfId="41" applyFont="1" applyBorder="1" applyAlignment="1">
      <alignment horizontal="left" vertical="top" wrapText="1"/>
    </xf>
    <xf numFmtId="0" fontId="161" fillId="0" borderId="9" xfId="41" applyFont="1" applyBorder="1" applyAlignment="1">
      <alignment vertical="center" wrapText="1"/>
    </xf>
    <xf numFmtId="0" fontId="161" fillId="0" borderId="0" xfId="41" applyFont="1" applyAlignment="1">
      <alignment vertical="top" wrapText="1"/>
    </xf>
    <xf numFmtId="0" fontId="158" fillId="0" borderId="0" xfId="41" applyFont="1" applyAlignment="1">
      <alignment horizontal="center"/>
    </xf>
    <xf numFmtId="205" fontId="158" fillId="0" borderId="0" xfId="41" applyNumberFormat="1" applyFont="1"/>
    <xf numFmtId="199" fontId="163" fillId="18" borderId="9" xfId="41" applyNumberFormat="1" applyFont="1" applyFill="1" applyBorder="1" applyAlignment="1">
      <alignment vertical="center"/>
    </xf>
    <xf numFmtId="0" fontId="52" fillId="0" borderId="0" xfId="119" applyFont="1" applyAlignment="1">
      <alignment horizontal="left" vertical="top"/>
    </xf>
    <xf numFmtId="0" fontId="52" fillId="0" borderId="0" xfId="119" applyFont="1" applyAlignment="1">
      <alignment vertical="center"/>
    </xf>
    <xf numFmtId="0" fontId="52" fillId="0" borderId="0" xfId="119" applyFont="1" applyAlignment="1">
      <alignment horizontal="left" vertical="top" wrapText="1"/>
    </xf>
    <xf numFmtId="0" fontId="52" fillId="0" borderId="0" xfId="119" applyFont="1" applyAlignment="1">
      <alignment vertical="top"/>
    </xf>
    <xf numFmtId="0" fontId="52" fillId="0" borderId="0" xfId="119" applyFont="1" applyAlignment="1">
      <alignment horizontal="center" vertical="top"/>
    </xf>
    <xf numFmtId="0" fontId="52" fillId="0" borderId="0" xfId="119" applyFont="1" applyAlignment="1">
      <alignment horizontal="right" vertical="top" wrapText="1"/>
    </xf>
    <xf numFmtId="0" fontId="52" fillId="0" borderId="0" xfId="119" applyFont="1" applyAlignment="1">
      <alignment horizontal="center" vertical="center" wrapText="1"/>
    </xf>
    <xf numFmtId="0" fontId="52" fillId="0" borderId="0" xfId="119" applyFont="1" applyAlignment="1">
      <alignment horizontal="center" vertical="center"/>
    </xf>
    <xf numFmtId="0" fontId="52" fillId="0" borderId="0" xfId="119" applyFont="1" applyAlignment="1">
      <alignment horizontal="center" vertical="top" wrapText="1"/>
    </xf>
    <xf numFmtId="0" fontId="52" fillId="0" borderId="0" xfId="119" applyFont="1" applyAlignment="1">
      <alignment horizontal="justify" vertical="justify" wrapText="1"/>
    </xf>
    <xf numFmtId="0" fontId="52" fillId="0" borderId="0" xfId="119" applyFont="1" applyAlignment="1">
      <alignment horizontal="center"/>
    </xf>
    <xf numFmtId="0" fontId="221" fillId="0" borderId="7" xfId="119" applyFont="1" applyBorder="1" applyAlignment="1">
      <alignment horizontal="center" vertical="top" wrapText="1"/>
    </xf>
    <xf numFmtId="0" fontId="31" fillId="0" borderId="7" xfId="119" applyFont="1" applyBorder="1" applyAlignment="1">
      <alignment horizontal="center" vertical="top" wrapText="1"/>
    </xf>
    <xf numFmtId="201" fontId="221" fillId="0" borderId="7" xfId="119" applyNumberFormat="1" applyFont="1" applyBorder="1" applyAlignment="1">
      <alignment horizontal="center" vertical="top"/>
    </xf>
    <xf numFmtId="201" fontId="91" fillId="0" borderId="0" xfId="119" applyNumberFormat="1" applyFont="1" applyAlignment="1">
      <alignment horizontal="center" vertical="top"/>
    </xf>
    <xf numFmtId="0" fontId="91" fillId="0" borderId="0" xfId="119" applyFont="1" applyAlignment="1">
      <alignment horizontal="center" vertical="top"/>
    </xf>
    <xf numFmtId="49" fontId="20" fillId="0" borderId="0" xfId="119" applyNumberFormat="1" applyFont="1" applyAlignment="1">
      <alignment horizontal="center" vertical="justify" wrapText="1"/>
    </xf>
    <xf numFmtId="49" fontId="91" fillId="0" borderId="0" xfId="119" applyNumberFormat="1" applyFont="1" applyAlignment="1">
      <alignment horizontal="center" vertical="top"/>
    </xf>
    <xf numFmtId="0" fontId="222" fillId="0" borderId="0" xfId="119" applyFont="1" applyAlignment="1">
      <alignment horizontal="center" vertical="top"/>
    </xf>
    <xf numFmtId="0" fontId="50" fillId="0" borderId="0" xfId="119" applyFont="1" applyAlignment="1">
      <alignment horizontal="center" vertical="top" wrapText="1"/>
    </xf>
    <xf numFmtId="0" fontId="31" fillId="0" borderId="0" xfId="119" applyFont="1" applyAlignment="1">
      <alignment horizontal="justify" vertical="justify" wrapText="1"/>
    </xf>
    <xf numFmtId="0" fontId="31" fillId="0" borderId="0" xfId="119" applyFont="1" applyAlignment="1">
      <alignment horizontal="center" vertical="top" wrapText="1"/>
    </xf>
    <xf numFmtId="201" fontId="31" fillId="0" borderId="0" xfId="119" applyNumberFormat="1" applyFont="1" applyAlignment="1">
      <alignment horizontal="center" vertical="top"/>
    </xf>
    <xf numFmtId="201" fontId="20" fillId="0" borderId="0" xfId="119" applyNumberFormat="1" applyFont="1" applyAlignment="1">
      <alignment horizontal="center" vertical="center"/>
    </xf>
    <xf numFmtId="0" fontId="20" fillId="0" borderId="0" xfId="119" applyFont="1" applyAlignment="1">
      <alignment vertical="top"/>
    </xf>
    <xf numFmtId="4" fontId="52" fillId="0" borderId="0" xfId="119" applyNumberFormat="1" applyFont="1" applyAlignment="1">
      <alignment horizontal="right" vertical="top"/>
    </xf>
    <xf numFmtId="214" fontId="52" fillId="0" borderId="0" xfId="119" applyNumberFormat="1" applyFont="1" applyAlignment="1">
      <alignment horizontal="right" vertical="top"/>
    </xf>
    <xf numFmtId="4" fontId="52" fillId="0" borderId="0" xfId="119" applyNumberFormat="1" applyFont="1" applyAlignment="1">
      <alignment horizontal="right"/>
    </xf>
    <xf numFmtId="214" fontId="52" fillId="0" borderId="0" xfId="119" applyNumberFormat="1" applyFont="1" applyAlignment="1">
      <alignment horizontal="right"/>
    </xf>
    <xf numFmtId="0" fontId="20" fillId="0" borderId="0" xfId="122" applyFont="1" applyAlignment="1">
      <alignment horizontal="justify" vertical="top" wrapText="1"/>
    </xf>
    <xf numFmtId="0" fontId="20" fillId="0" borderId="0" xfId="122" applyFont="1" applyAlignment="1">
      <alignment horizontal="left" vertical="top" wrapText="1"/>
    </xf>
    <xf numFmtId="0" fontId="20" fillId="0" borderId="0" xfId="119" applyFont="1" applyAlignment="1">
      <alignment horizontal="center" vertical="top"/>
    </xf>
    <xf numFmtId="4" fontId="20" fillId="0" borderId="0" xfId="119" applyNumberFormat="1" applyFont="1" applyAlignment="1">
      <alignment horizontal="right" vertical="top"/>
    </xf>
    <xf numFmtId="214" fontId="20" fillId="0" borderId="0" xfId="119" applyNumberFormat="1" applyFont="1" applyAlignment="1">
      <alignment horizontal="right" vertical="top"/>
    </xf>
    <xf numFmtId="214" fontId="20" fillId="0" borderId="0" xfId="119" applyNumberFormat="1" applyFont="1" applyAlignment="1">
      <alignment horizontal="right"/>
    </xf>
    <xf numFmtId="49" fontId="52" fillId="0" borderId="0" xfId="119" applyNumberFormat="1" applyFont="1" applyAlignment="1">
      <alignment horizontal="center" vertical="top"/>
    </xf>
    <xf numFmtId="4" fontId="52" fillId="0" borderId="0" xfId="119" applyNumberFormat="1" applyFont="1" applyAlignment="1">
      <alignment horizontal="right" vertical="top" wrapText="1"/>
    </xf>
    <xf numFmtId="0" fontId="52" fillId="0" borderId="0" xfId="119" applyFont="1" applyAlignment="1">
      <alignment horizontal="right" vertical="top"/>
    </xf>
    <xf numFmtId="0" fontId="20" fillId="0" borderId="0" xfId="119" applyFont="1" applyAlignment="1">
      <alignment horizontal="justify" vertical="justify" wrapText="1"/>
    </xf>
    <xf numFmtId="0" fontId="20" fillId="0" borderId="0" xfId="119" applyFont="1" applyAlignment="1">
      <alignment horizontal="right" vertical="top"/>
    </xf>
    <xf numFmtId="0" fontId="20" fillId="0" borderId="0" xfId="119" applyFont="1" applyAlignment="1">
      <alignment horizontal="left" vertical="top" wrapText="1"/>
    </xf>
    <xf numFmtId="0" fontId="20" fillId="0" borderId="0" xfId="119" applyFont="1" applyAlignment="1">
      <alignment horizontal="center"/>
    </xf>
    <xf numFmtId="199" fontId="20" fillId="0" borderId="0" xfId="119" applyNumberFormat="1" applyFont="1" applyAlignment="1">
      <alignment horizontal="right"/>
    </xf>
    <xf numFmtId="199" fontId="20" fillId="0" borderId="0" xfId="119" applyNumberFormat="1" applyFont="1" applyAlignment="1">
      <alignment horizontal="right" vertical="top"/>
    </xf>
    <xf numFmtId="199" fontId="52" fillId="0" borderId="0" xfId="119" applyNumberFormat="1" applyFont="1" applyAlignment="1">
      <alignment horizontal="right" vertical="top"/>
    </xf>
    <xf numFmtId="0" fontId="52" fillId="0" borderId="0" xfId="119" applyFont="1" applyAlignment="1">
      <alignment horizontal="right" vertical="center" wrapText="1"/>
    </xf>
    <xf numFmtId="49" fontId="20" fillId="0" borderId="0" xfId="122" applyNumberFormat="1" applyFont="1" applyAlignment="1">
      <alignment horizontal="justify" vertical="top" wrapText="1"/>
    </xf>
    <xf numFmtId="0" fontId="20" fillId="0" borderId="0" xfId="119" applyFont="1" applyAlignment="1">
      <alignment horizontal="right" vertical="top" wrapText="1"/>
    </xf>
    <xf numFmtId="0" fontId="20" fillId="0" borderId="0" xfId="119" applyFont="1" applyAlignment="1">
      <alignment vertical="top" wrapText="1"/>
    </xf>
    <xf numFmtId="0" fontId="20" fillId="0" borderId="0" xfId="119" applyFont="1" applyAlignment="1">
      <alignment horizontal="center" vertical="top" wrapText="1"/>
    </xf>
    <xf numFmtId="215" fontId="20" fillId="0" borderId="0" xfId="119" applyNumberFormat="1" applyFont="1" applyAlignment="1">
      <alignment horizontal="left" vertical="top" wrapText="1"/>
    </xf>
    <xf numFmtId="4" fontId="52" fillId="0" borderId="0" xfId="119" applyNumberFormat="1" applyFont="1" applyAlignment="1">
      <alignment horizontal="left"/>
    </xf>
    <xf numFmtId="0" fontId="52" fillId="0" borderId="0" xfId="122" applyFont="1" applyAlignment="1">
      <alignment horizontal="justify" vertical="top" wrapText="1"/>
    </xf>
    <xf numFmtId="49" fontId="20" fillId="0" borderId="0" xfId="124" applyNumberFormat="1" applyFont="1" applyAlignment="1">
      <alignment horizontal="justify" vertical="top" wrapText="1"/>
    </xf>
    <xf numFmtId="49" fontId="20" fillId="0" borderId="0" xfId="124" quotePrefix="1" applyNumberFormat="1" applyFont="1" applyAlignment="1">
      <alignment horizontal="justify" vertical="top" wrapText="1"/>
    </xf>
    <xf numFmtId="4" fontId="52" fillId="0" borderId="0" xfId="119" applyNumberFormat="1" applyFont="1" applyAlignment="1">
      <alignment horizontal="center" vertical="top"/>
    </xf>
    <xf numFmtId="0" fontId="52" fillId="0" borderId="0" xfId="119" applyFont="1" applyAlignment="1">
      <alignment horizontal="justify" vertical="top" wrapText="1"/>
    </xf>
    <xf numFmtId="0" fontId="20" fillId="0" borderId="0" xfId="126" applyFont="1" applyAlignment="1">
      <alignment wrapText="1"/>
    </xf>
    <xf numFmtId="0" fontId="20" fillId="0" borderId="0" xfId="119" applyFont="1" applyAlignment="1">
      <alignment horizontal="justify" vertical="top" wrapText="1"/>
    </xf>
    <xf numFmtId="180" fontId="52" fillId="0" borderId="0" xfId="119" applyNumberFormat="1" applyFont="1" applyAlignment="1">
      <alignment horizontal="right" vertical="top"/>
    </xf>
    <xf numFmtId="0" fontId="20" fillId="0" borderId="0" xfId="119" applyFont="1" applyAlignment="1">
      <alignment horizontal="left" vertical="top"/>
    </xf>
    <xf numFmtId="199" fontId="20" fillId="0" borderId="9" xfId="119" applyNumberFormat="1" applyFont="1" applyBorder="1" applyAlignment="1">
      <alignment horizontal="right" vertical="top" wrapText="1"/>
    </xf>
    <xf numFmtId="4" fontId="20" fillId="0" borderId="0" xfId="119" applyNumberFormat="1" applyFont="1" applyAlignment="1">
      <alignment horizontal="right"/>
    </xf>
    <xf numFmtId="0" fontId="20" fillId="0" borderId="0" xfId="119" applyFont="1" applyAlignment="1">
      <alignment horizontal="justify" vertical="justify"/>
    </xf>
    <xf numFmtId="0" fontId="52" fillId="0" borderId="7" xfId="119" applyFont="1" applyBorder="1" applyAlignment="1">
      <alignment horizontal="center" vertical="top"/>
    </xf>
    <xf numFmtId="0" fontId="52" fillId="0" borderId="7" xfId="119" applyFont="1" applyBorder="1" applyAlignment="1">
      <alignment horizontal="center" vertical="top" wrapText="1"/>
    </xf>
    <xf numFmtId="0" fontId="52" fillId="0" borderId="7" xfId="119" applyFont="1" applyBorder="1" applyAlignment="1">
      <alignment horizontal="justify" vertical="justify" wrapText="1"/>
    </xf>
    <xf numFmtId="0" fontId="52" fillId="0" borderId="7" xfId="119" applyFont="1" applyBorder="1" applyAlignment="1">
      <alignment horizontal="left" vertical="top" wrapText="1"/>
    </xf>
    <xf numFmtId="199" fontId="52" fillId="0" borderId="9" xfId="119" applyNumberFormat="1" applyFont="1" applyBorder="1" applyAlignment="1">
      <alignment horizontal="right" vertical="top"/>
    </xf>
    <xf numFmtId="0" fontId="52" fillId="0" borderId="0" xfId="118" applyNumberFormat="1" applyFont="1" applyAlignment="1">
      <alignment horizontal="center" vertical="center"/>
      <protection locked="0"/>
    </xf>
    <xf numFmtId="213" fontId="221" fillId="0" borderId="7" xfId="120" applyFont="1" applyFill="1" applyBorder="1" applyAlignment="1">
      <alignment horizontal="center" vertical="top" wrapText="1"/>
    </xf>
    <xf numFmtId="213" fontId="91" fillId="0" borderId="0" xfId="120" applyFont="1" applyFill="1" applyBorder="1" applyAlignment="1">
      <alignment horizontal="center" vertical="top" wrapText="1"/>
    </xf>
    <xf numFmtId="9" fontId="91" fillId="0" borderId="0" xfId="121" applyFont="1" applyFill="1" applyBorder="1" applyAlignment="1">
      <alignment horizontal="center" vertical="top"/>
    </xf>
    <xf numFmtId="213" fontId="31" fillId="0" borderId="0" xfId="120" applyFont="1" applyFill="1" applyAlignment="1">
      <alignment horizontal="right" vertical="top"/>
    </xf>
    <xf numFmtId="213" fontId="20" fillId="0" borderId="0" xfId="120" applyFont="1" applyFill="1" applyBorder="1" applyAlignment="1">
      <alignment horizontal="center" vertical="center" wrapText="1"/>
    </xf>
    <xf numFmtId="9" fontId="20" fillId="0" borderId="0" xfId="121" applyFont="1" applyFill="1" applyBorder="1" applyAlignment="1">
      <alignment horizontal="center"/>
    </xf>
    <xf numFmtId="9" fontId="52" fillId="0" borderId="0" xfId="121" applyFont="1" applyFill="1" applyBorder="1" applyAlignment="1">
      <alignment vertical="top"/>
    </xf>
    <xf numFmtId="9" fontId="20" fillId="0" borderId="0" xfId="121" applyFont="1" applyFill="1" applyBorder="1" applyAlignment="1">
      <alignment vertical="top"/>
    </xf>
    <xf numFmtId="0" fontId="20" fillId="0" borderId="0" xfId="119" applyFont="1" applyAlignment="1" applyProtection="1">
      <alignment horizontal="justify" vertical="justify" wrapText="1"/>
      <protection locked="0"/>
    </xf>
    <xf numFmtId="199" fontId="20" fillId="0" borderId="9" xfId="119" applyNumberFormat="1" applyFont="1" applyBorder="1" applyAlignment="1" applyProtection="1">
      <alignment horizontal="center"/>
      <protection locked="0"/>
    </xf>
    <xf numFmtId="201" fontId="20" fillId="0" borderId="0" xfId="123" applyNumberFormat="1" applyFont="1" applyFill="1" applyBorder="1" applyAlignment="1">
      <alignment horizontal="center" vertical="top"/>
    </xf>
    <xf numFmtId="49" fontId="20" fillId="0" borderId="0" xfId="127" applyNumberFormat="1" applyFont="1" applyAlignment="1">
      <alignment horizontal="justify" vertical="top" wrapText="1"/>
    </xf>
    <xf numFmtId="0" fontId="20" fillId="0" borderId="0" xfId="127" applyFont="1" applyAlignment="1">
      <alignment wrapText="1"/>
    </xf>
    <xf numFmtId="0" fontId="20" fillId="0" borderId="0" xfId="127" quotePrefix="1" applyFont="1" applyAlignment="1">
      <alignment wrapText="1"/>
    </xf>
    <xf numFmtId="49" fontId="20" fillId="0" borderId="0" xfId="119" applyNumberFormat="1" applyFont="1" applyAlignment="1" applyProtection="1">
      <alignment horizontal="justify" vertical="top" wrapText="1"/>
      <protection hidden="1"/>
    </xf>
    <xf numFmtId="12" fontId="15" fillId="0" borderId="1" xfId="0" applyNumberFormat="1" applyFont="1" applyBorder="1" applyAlignment="1">
      <alignment vertical="top"/>
    </xf>
    <xf numFmtId="12" fontId="15" fillId="0" borderId="1" xfId="0" applyNumberFormat="1" applyFont="1" applyBorder="1" applyAlignment="1">
      <alignment vertical="top" wrapText="1"/>
    </xf>
    <xf numFmtId="0" fontId="225" fillId="0" borderId="0" xfId="43" applyFont="1" applyAlignment="1">
      <alignment horizontal="center" wrapText="1"/>
    </xf>
    <xf numFmtId="1" fontId="225" fillId="0" borderId="0" xfId="43" applyNumberFormat="1" applyFont="1" applyAlignment="1">
      <alignment horizontal="center" wrapText="1"/>
    </xf>
    <xf numFmtId="0" fontId="68" fillId="0" borderId="0" xfId="42" applyNumberFormat="1" applyFont="1" applyBorder="1" applyAlignment="1" applyProtection="1">
      <alignment horizontal="center" vertical="center"/>
    </xf>
    <xf numFmtId="0" fontId="15" fillId="0" borderId="0" xfId="0" applyFont="1" applyAlignment="1">
      <alignment horizontal="center" vertical="top" wrapText="1"/>
    </xf>
    <xf numFmtId="0" fontId="68" fillId="0" borderId="0" xfId="42" applyNumberFormat="1" applyFont="1" applyFill="1" applyBorder="1" applyAlignment="1" applyProtection="1">
      <alignment horizontal="center" vertical="center"/>
    </xf>
    <xf numFmtId="0" fontId="72" fillId="0" borderId="0" xfId="0" applyFont="1" applyAlignment="1">
      <alignment horizontal="left" vertical="center" wrapText="1"/>
    </xf>
    <xf numFmtId="0" fontId="14" fillId="0" borderId="0" xfId="43" applyFont="1" applyAlignment="1">
      <alignment horizontal="center" wrapText="1"/>
    </xf>
    <xf numFmtId="1" fontId="14" fillId="0" borderId="0" xfId="43" applyNumberFormat="1" applyFont="1" applyAlignment="1">
      <alignment horizontal="center" wrapText="1"/>
    </xf>
    <xf numFmtId="12" fontId="14" fillId="0" borderId="0" xfId="0" applyNumberFormat="1" applyFont="1" applyAlignment="1">
      <alignment horizontal="left"/>
    </xf>
    <xf numFmtId="4" fontId="14" fillId="0" borderId="0" xfId="0" applyNumberFormat="1" applyFont="1" applyProtection="1">
      <protection locked="0"/>
    </xf>
    <xf numFmtId="4" fontId="226" fillId="0" borderId="7" xfId="48" applyNumberFormat="1" applyFont="1" applyBorder="1" applyAlignment="1">
      <alignment horizontal="center"/>
    </xf>
    <xf numFmtId="4" fontId="131" fillId="0" borderId="7" xfId="48" applyNumberFormat="1" applyFont="1" applyBorder="1" applyAlignment="1">
      <alignment horizontal="justify" vertical="center"/>
    </xf>
    <xf numFmtId="4" fontId="131" fillId="0" borderId="7" xfId="48" applyNumberFormat="1" applyFont="1" applyBorder="1" applyAlignment="1">
      <alignment horizontal="justify" vertical="center" wrapText="1"/>
    </xf>
    <xf numFmtId="4" fontId="131" fillId="0" borderId="0" xfId="48" applyNumberFormat="1" applyFont="1" applyAlignment="1">
      <alignment horizontal="center"/>
    </xf>
    <xf numFmtId="4" fontId="131" fillId="0" borderId="0" xfId="48" applyNumberFormat="1" applyFont="1" applyAlignment="1">
      <alignment horizontal="center" vertical="center"/>
    </xf>
    <xf numFmtId="4" fontId="131" fillId="0" borderId="7" xfId="48" applyNumberFormat="1" applyFont="1" applyBorder="1" applyAlignment="1">
      <alignment horizontal="center"/>
    </xf>
    <xf numFmtId="4" fontId="131" fillId="0" borderId="7" xfId="48" applyNumberFormat="1" applyFont="1" applyBorder="1" applyAlignment="1">
      <alignment horizontal="center" vertical="center"/>
    </xf>
    <xf numFmtId="4" fontId="228" fillId="0" borderId="0" xfId="48" applyNumberFormat="1" applyFont="1" applyAlignment="1">
      <alignment horizontal="center"/>
    </xf>
    <xf numFmtId="4" fontId="228" fillId="0" borderId="0" xfId="48" applyNumberFormat="1" applyFont="1" applyAlignment="1" applyProtection="1">
      <alignment horizontal="center"/>
      <protection locked="0"/>
    </xf>
    <xf numFmtId="10" fontId="129" fillId="0" borderId="0" xfId="48" applyNumberFormat="1" applyFont="1" applyAlignment="1">
      <alignment horizontal="justify"/>
    </xf>
    <xf numFmtId="4" fontId="226" fillId="0" borderId="0" xfId="48" applyNumberFormat="1" applyFont="1" applyAlignment="1">
      <alignment horizontal="center"/>
    </xf>
    <xf numFmtId="203" fontId="88" fillId="0" borderId="0" xfId="72" applyFont="1">
      <alignment horizontal="left" vertical="top"/>
    </xf>
    <xf numFmtId="203" fontId="90" fillId="0" borderId="0" xfId="72" applyFont="1">
      <alignment horizontal="left" vertical="top"/>
    </xf>
    <xf numFmtId="4" fontId="85" fillId="0" borderId="0" xfId="71" applyNumberFormat="1" applyFont="1" applyAlignment="1">
      <alignment horizontal="center"/>
    </xf>
    <xf numFmtId="0" fontId="88" fillId="0" borderId="0" xfId="48" applyFont="1"/>
    <xf numFmtId="4" fontId="226" fillId="0" borderId="7" xfId="48" applyNumberFormat="1" applyFont="1" applyBorder="1" applyAlignment="1">
      <alignment horizontal="center" vertical="center"/>
    </xf>
    <xf numFmtId="4" fontId="131" fillId="0" borderId="7" xfId="48" applyNumberFormat="1" applyFont="1" applyBorder="1" applyAlignment="1">
      <alignment horizontal="left" vertical="center" wrapText="1"/>
    </xf>
    <xf numFmtId="0" fontId="131" fillId="0" borderId="0" xfId="48" applyFont="1" applyAlignment="1">
      <alignment horizontal="left" vertical="top" wrapText="1"/>
    </xf>
    <xf numFmtId="4" fontId="226" fillId="0" borderId="0" xfId="48" applyNumberFormat="1" applyFont="1" applyAlignment="1">
      <alignment horizontal="center" vertical="center" wrapText="1"/>
    </xf>
    <xf numFmtId="0" fontId="25" fillId="0" borderId="0" xfId="48" applyFont="1" applyAlignment="1" applyProtection="1">
      <alignment horizontal="center" vertical="center"/>
      <protection locked="0"/>
    </xf>
    <xf numFmtId="0" fontId="142" fillId="13" borderId="15" xfId="48" applyFont="1" applyFill="1" applyBorder="1" applyAlignment="1">
      <alignment vertical="center" wrapText="1"/>
    </xf>
    <xf numFmtId="0" fontId="131" fillId="0" borderId="0" xfId="48" applyFont="1"/>
    <xf numFmtId="0" fontId="131" fillId="0" borderId="7" xfId="48" applyFont="1" applyBorder="1"/>
    <xf numFmtId="4" fontId="226" fillId="0" borderId="7" xfId="48" applyNumberFormat="1" applyFont="1" applyBorder="1" applyAlignment="1">
      <alignment horizontal="center" vertical="center" wrapText="1"/>
    </xf>
    <xf numFmtId="0" fontId="131" fillId="0" borderId="14" xfId="48" applyFont="1" applyBorder="1"/>
    <xf numFmtId="4" fontId="226" fillId="0" borderId="14" xfId="48" applyNumberFormat="1" applyFont="1" applyBorder="1" applyAlignment="1">
      <alignment horizontal="center" vertical="center" wrapText="1"/>
    </xf>
    <xf numFmtId="4" fontId="226" fillId="0" borderId="14" xfId="48" applyNumberFormat="1" applyFont="1" applyBorder="1" applyAlignment="1">
      <alignment horizontal="center"/>
    </xf>
    <xf numFmtId="0" fontId="131" fillId="0" borderId="7" xfId="48" applyFont="1" applyBorder="1" applyAlignment="1">
      <alignment horizontal="left" vertical="top" wrapText="1"/>
    </xf>
    <xf numFmtId="4" fontId="226" fillId="0" borderId="0" xfId="48" applyNumberFormat="1" applyFont="1" applyAlignment="1">
      <alignment horizontal="center" vertical="center"/>
    </xf>
    <xf numFmtId="4" fontId="131" fillId="0" borderId="0" xfId="48" applyNumberFormat="1" applyFont="1" applyAlignment="1">
      <alignment horizontal="right"/>
    </xf>
    <xf numFmtId="0" fontId="131" fillId="0" borderId="0" xfId="48" applyFont="1" applyAlignment="1">
      <alignment horizontal="center"/>
    </xf>
    <xf numFmtId="0" fontId="131" fillId="0" borderId="7" xfId="48" applyFont="1" applyBorder="1" applyAlignment="1">
      <alignment horizontal="center"/>
    </xf>
    <xf numFmtId="4" fontId="131" fillId="0" borderId="7" xfId="48" applyNumberFormat="1" applyFont="1" applyBorder="1" applyAlignment="1">
      <alignment horizontal="right"/>
    </xf>
    <xf numFmtId="0" fontId="131" fillId="0" borderId="14" xfId="48" applyFont="1" applyBorder="1" applyAlignment="1">
      <alignment horizontal="center"/>
    </xf>
    <xf numFmtId="4" fontId="131" fillId="0" borderId="14" xfId="48" applyNumberFormat="1" applyFont="1" applyBorder="1" applyAlignment="1">
      <alignment horizontal="right"/>
    </xf>
    <xf numFmtId="4" fontId="131" fillId="0" borderId="7" xfId="48" applyNumberFormat="1" applyFont="1" applyBorder="1" applyAlignment="1">
      <alignment horizontal="justify" vertical="top" wrapText="1"/>
    </xf>
    <xf numFmtId="4" fontId="131" fillId="0" borderId="7" xfId="48" quotePrefix="1" applyNumberFormat="1" applyFont="1" applyBorder="1" applyAlignment="1">
      <alignment horizontal="justify" vertical="top" wrapText="1"/>
    </xf>
    <xf numFmtId="4" fontId="131" fillId="0" borderId="14" xfId="48" applyNumberFormat="1" applyFont="1" applyBorder="1" applyAlignment="1">
      <alignment horizontal="center"/>
    </xf>
    <xf numFmtId="1" fontId="229" fillId="0" borderId="0" xfId="48" applyNumberFormat="1" applyFont="1" applyAlignment="1">
      <alignment horizontal="center" vertical="top"/>
    </xf>
    <xf numFmtId="4" fontId="18" fillId="0" borderId="0" xfId="48" applyNumberFormat="1" applyFont="1" applyAlignment="1">
      <alignment horizontal="center" vertical="center" wrapText="1"/>
    </xf>
    <xf numFmtId="4" fontId="18" fillId="0" borderId="0" xfId="48" applyNumberFormat="1" applyFont="1" applyAlignment="1" applyProtection="1">
      <alignment horizontal="center" vertical="center" wrapText="1"/>
      <protection locked="0"/>
    </xf>
    <xf numFmtId="3" fontId="18" fillId="0" borderId="0" xfId="48" applyNumberFormat="1" applyFont="1" applyAlignment="1">
      <alignment horizontal="center"/>
    </xf>
    <xf numFmtId="0" fontId="18" fillId="0" borderId="0" xfId="48" applyFont="1" applyAlignment="1">
      <alignment vertical="center" wrapText="1"/>
    </xf>
    <xf numFmtId="0" fontId="18" fillId="0" borderId="0" xfId="48" applyFont="1" applyAlignment="1">
      <alignment wrapText="1"/>
    </xf>
    <xf numFmtId="0" fontId="85" fillId="0" borderId="0" xfId="46" applyFont="1" applyAlignment="1">
      <alignment horizontal="justify" vertical="top" wrapText="1"/>
    </xf>
    <xf numFmtId="0" fontId="85" fillId="0" borderId="0" xfId="46" applyFont="1" applyAlignment="1">
      <alignment horizontal="justify" vertical="top"/>
    </xf>
    <xf numFmtId="0" fontId="93" fillId="0" borderId="0" xfId="46" applyFont="1" applyAlignment="1">
      <alignment horizontal="justify" vertical="top" wrapText="1"/>
    </xf>
    <xf numFmtId="0" fontId="90" fillId="0" borderId="0" xfId="46" applyFont="1" applyAlignment="1">
      <alignment horizontal="justify" vertical="top" wrapText="1"/>
    </xf>
    <xf numFmtId="0" fontId="85" fillId="0" borderId="0" xfId="46" quotePrefix="1" applyFont="1" applyAlignment="1">
      <alignment horizontal="justify" vertical="top"/>
    </xf>
    <xf numFmtId="0" fontId="85" fillId="0" borderId="0" xfId="46" applyFont="1" applyAlignment="1">
      <alignment horizontal="left" vertical="top" wrapText="1"/>
    </xf>
    <xf numFmtId="0" fontId="88" fillId="0" borderId="0" xfId="27" applyFont="1" applyAlignment="1">
      <alignment horizontal="justify" vertical="top" wrapText="1"/>
    </xf>
    <xf numFmtId="0" fontId="93" fillId="0" borderId="0" xfId="46" applyFont="1" applyAlignment="1">
      <alignment horizontal="justify" vertical="top"/>
    </xf>
    <xf numFmtId="0" fontId="90" fillId="0" borderId="0" xfId="46" applyFont="1" applyAlignment="1">
      <alignment vertical="top"/>
    </xf>
    <xf numFmtId="0" fontId="90" fillId="0" borderId="0" xfId="46" applyFont="1" applyAlignment="1">
      <alignment horizontal="left" vertical="top"/>
    </xf>
    <xf numFmtId="0" fontId="88" fillId="0" borderId="0" xfId="27" applyFont="1" applyAlignment="1">
      <alignment horizontal="left" vertical="top" wrapText="1"/>
    </xf>
    <xf numFmtId="0" fontId="85" fillId="0" borderId="0" xfId="46" quotePrefix="1" applyFont="1" applyAlignment="1">
      <alignment horizontal="left" vertical="top" wrapText="1"/>
    </xf>
    <xf numFmtId="0" fontId="93" fillId="0" borderId="0" xfId="46" applyFont="1"/>
    <xf numFmtId="0" fontId="85" fillId="0" borderId="0" xfId="46" applyFont="1"/>
    <xf numFmtId="0" fontId="93" fillId="0" borderId="0" xfId="46" applyFont="1" applyAlignment="1">
      <alignment horizontal="left" vertical="top" wrapText="1"/>
    </xf>
    <xf numFmtId="0" fontId="93" fillId="0" borderId="0" xfId="46" applyFont="1" applyAlignment="1">
      <alignment horizontal="left" vertical="top"/>
    </xf>
    <xf numFmtId="0" fontId="85" fillId="0" borderId="0" xfId="46" applyFont="1" applyAlignment="1">
      <alignment horizontal="left" vertical="top"/>
    </xf>
    <xf numFmtId="0" fontId="90" fillId="0" borderId="0" xfId="46" applyFont="1" applyAlignment="1">
      <alignment horizontal="justify"/>
    </xf>
    <xf numFmtId="49" fontId="90" fillId="0" borderId="0" xfId="46" applyNumberFormat="1" applyFont="1" applyAlignment="1">
      <alignment horizontal="justify" vertical="top"/>
    </xf>
    <xf numFmtId="0" fontId="85" fillId="0" borderId="0" xfId="46" applyFont="1" applyAlignment="1">
      <alignment horizontal="justify"/>
    </xf>
    <xf numFmtId="4" fontId="52" fillId="0" borderId="1" xfId="3" applyNumberFormat="1" applyFont="1" applyBorder="1" applyAlignment="1">
      <alignment horizontal="left" vertical="top" wrapText="1"/>
    </xf>
    <xf numFmtId="0" fontId="169" fillId="0" borderId="0" xfId="79" applyFont="1" applyAlignment="1">
      <alignment horizontal="justify" vertical="top" wrapText="1"/>
    </xf>
    <xf numFmtId="0" fontId="165" fillId="0" borderId="0" xfId="80" applyFont="1" applyAlignment="1">
      <alignment horizontal="justify" vertical="top" wrapText="1"/>
    </xf>
    <xf numFmtId="49" fontId="168" fillId="0" borderId="0" xfId="80" applyNumberFormat="1" applyFont="1" applyAlignment="1">
      <alignment vertical="top" wrapText="1"/>
    </xf>
    <xf numFmtId="0" fontId="165" fillId="0" borderId="0" xfId="80" applyFont="1" applyAlignment="1">
      <alignment horizontal="justify" vertical="top"/>
    </xf>
    <xf numFmtId="49" fontId="165" fillId="0" borderId="0" xfId="80" applyNumberFormat="1" applyFont="1" applyAlignment="1">
      <alignment horizontal="justify" vertical="top" wrapText="1"/>
    </xf>
    <xf numFmtId="0" fontId="165" fillId="0" borderId="0" xfId="82" applyFont="1" applyAlignment="1">
      <alignment horizontal="justify" vertical="top" wrapText="1"/>
    </xf>
    <xf numFmtId="49" fontId="165" fillId="0" borderId="0" xfId="80" applyNumberFormat="1" applyFont="1" applyAlignment="1">
      <alignment horizontal="left" vertical="top" wrapText="1"/>
    </xf>
    <xf numFmtId="0" fontId="165" fillId="0" borderId="0" xfId="81" applyFont="1" applyAlignment="1">
      <alignment horizontal="justify" vertical="top" wrapText="1"/>
    </xf>
    <xf numFmtId="49" fontId="166" fillId="0" borderId="0" xfId="80" applyNumberFormat="1" applyFont="1" applyAlignment="1">
      <alignment horizontal="justify" vertical="top" wrapText="1"/>
    </xf>
    <xf numFmtId="0" fontId="18" fillId="0" borderId="0" xfId="41" applyAlignment="1">
      <alignment horizontal="justify" vertical="top" wrapText="1"/>
    </xf>
    <xf numFmtId="49" fontId="165" fillId="0" borderId="0" xfId="80" applyNumberFormat="1" applyFont="1" applyAlignment="1">
      <alignment horizontal="justify" vertical="top"/>
    </xf>
    <xf numFmtId="0" fontId="170" fillId="0" borderId="36" xfId="41" applyFont="1" applyBorder="1" applyAlignment="1">
      <alignment horizontal="center" vertical="center"/>
    </xf>
    <xf numFmtId="0" fontId="170" fillId="0" borderId="37" xfId="41" applyFont="1" applyBorder="1" applyAlignment="1">
      <alignment horizontal="center" vertical="center"/>
    </xf>
    <xf numFmtId="4" fontId="171" fillId="19" borderId="38" xfId="41" applyNumberFormat="1" applyFont="1" applyFill="1" applyBorder="1" applyAlignment="1">
      <alignment horizontal="center" vertical="center"/>
    </xf>
    <xf numFmtId="4" fontId="171" fillId="19" borderId="39" xfId="41" applyNumberFormat="1" applyFont="1" applyFill="1" applyBorder="1" applyAlignment="1">
      <alignment horizontal="center" vertical="center"/>
    </xf>
    <xf numFmtId="4" fontId="171" fillId="19" borderId="40" xfId="41" applyNumberFormat="1" applyFont="1" applyFill="1" applyBorder="1" applyAlignment="1">
      <alignment horizontal="center" vertical="center"/>
    </xf>
    <xf numFmtId="49" fontId="117" fillId="0" borderId="0" xfId="80" applyNumberFormat="1" applyFont="1" applyAlignment="1">
      <alignment horizontal="justify" vertical="top" wrapText="1"/>
    </xf>
    <xf numFmtId="0" fontId="56" fillId="0" borderId="41" xfId="85" applyFont="1" applyBorder="1" applyAlignment="1">
      <alignment horizontal="right" vertical="center"/>
    </xf>
    <xf numFmtId="0" fontId="56" fillId="0" borderId="0" xfId="85" applyFont="1" applyAlignment="1">
      <alignment horizontal="right" vertical="center"/>
    </xf>
    <xf numFmtId="4" fontId="171" fillId="19" borderId="43" xfId="41" applyNumberFormat="1" applyFont="1" applyFill="1" applyBorder="1" applyAlignment="1">
      <alignment horizontal="center" vertical="center"/>
    </xf>
    <xf numFmtId="0" fontId="204" fillId="0" borderId="36" xfId="41" applyFont="1" applyBorder="1" applyAlignment="1">
      <alignment horizontal="center" vertical="center"/>
    </xf>
    <xf numFmtId="0" fontId="204" fillId="0" borderId="37" xfId="41" applyFont="1" applyBorder="1" applyAlignment="1">
      <alignment horizontal="center" vertical="center"/>
    </xf>
    <xf numFmtId="4" fontId="212" fillId="19" borderId="43" xfId="41" applyNumberFormat="1" applyFont="1" applyFill="1" applyBorder="1" applyAlignment="1">
      <alignment horizontal="center" vertical="center"/>
    </xf>
    <xf numFmtId="0" fontId="110" fillId="0" borderId="7" xfId="49" applyFont="1" applyBorder="1" applyAlignment="1">
      <alignment vertical="top"/>
    </xf>
    <xf numFmtId="0" fontId="112" fillId="0" borderId="7" xfId="49" applyFont="1" applyBorder="1"/>
    <xf numFmtId="0" fontId="110" fillId="11" borderId="8" xfId="49" applyFont="1" applyFill="1" applyBorder="1" applyAlignment="1">
      <alignment vertical="center" wrapText="1"/>
    </xf>
    <xf numFmtId="0" fontId="110" fillId="11" borderId="10" xfId="49" applyFont="1" applyFill="1" applyBorder="1" applyAlignment="1">
      <alignment vertical="center" wrapText="1"/>
    </xf>
    <xf numFmtId="0" fontId="163" fillId="18" borderId="8" xfId="41" applyFont="1" applyFill="1" applyBorder="1" applyAlignment="1">
      <alignment horizontal="left" vertical="center" wrapText="1"/>
    </xf>
    <xf numFmtId="0" fontId="163" fillId="18" borderId="10" xfId="41" applyFont="1" applyFill="1" applyBorder="1" applyAlignment="1">
      <alignment horizontal="left" vertical="center" wrapText="1"/>
    </xf>
    <xf numFmtId="0" fontId="163" fillId="18" borderId="13" xfId="41" applyFont="1" applyFill="1" applyBorder="1" applyAlignment="1">
      <alignment horizontal="left" vertical="center" wrapText="1"/>
    </xf>
    <xf numFmtId="49" fontId="149" fillId="0" borderId="8" xfId="41" applyNumberFormat="1" applyFont="1" applyBorder="1" applyAlignment="1">
      <alignment horizontal="center" vertical="top"/>
    </xf>
    <xf numFmtId="49" fontId="149" fillId="0" borderId="10" xfId="41" applyNumberFormat="1" applyFont="1" applyBorder="1" applyAlignment="1">
      <alignment horizontal="center" vertical="top"/>
    </xf>
    <xf numFmtId="49" fontId="149" fillId="0" borderId="13" xfId="41" applyNumberFormat="1" applyFont="1" applyBorder="1" applyAlignment="1">
      <alignment horizontal="center" vertical="top"/>
    </xf>
    <xf numFmtId="49" fontId="158" fillId="0" borderId="8" xfId="41" applyNumberFormat="1" applyFont="1" applyBorder="1" applyAlignment="1">
      <alignment horizontal="center" vertical="top"/>
    </xf>
    <xf numFmtId="49" fontId="158" fillId="0" borderId="10" xfId="41" applyNumberFormat="1" applyFont="1" applyBorder="1" applyAlignment="1">
      <alignment horizontal="center" vertical="top"/>
    </xf>
    <xf numFmtId="49" fontId="158" fillId="0" borderId="13" xfId="41" applyNumberFormat="1" applyFont="1" applyBorder="1" applyAlignment="1">
      <alignment horizontal="center" vertical="top"/>
    </xf>
    <xf numFmtId="0" fontId="160" fillId="18" borderId="8" xfId="41" applyFont="1" applyFill="1" applyBorder="1" applyAlignment="1">
      <alignment horizontal="left" vertical="top" wrapText="1"/>
    </xf>
    <xf numFmtId="0" fontId="160" fillId="18" borderId="10" xfId="41" applyFont="1" applyFill="1" applyBorder="1" applyAlignment="1">
      <alignment horizontal="left" vertical="top" wrapText="1"/>
    </xf>
    <xf numFmtId="0" fontId="160" fillId="18" borderId="13" xfId="41" applyFont="1" applyFill="1" applyBorder="1" applyAlignment="1">
      <alignment horizontal="left" vertical="top" wrapText="1"/>
    </xf>
    <xf numFmtId="49" fontId="151" fillId="18" borderId="8" xfId="41" applyNumberFormat="1" applyFont="1" applyFill="1" applyBorder="1" applyAlignment="1">
      <alignment horizontal="left" vertical="center"/>
    </xf>
    <xf numFmtId="49" fontId="151" fillId="18" borderId="10" xfId="41" applyNumberFormat="1" applyFont="1" applyFill="1" applyBorder="1" applyAlignment="1">
      <alignment horizontal="left" vertical="center"/>
    </xf>
    <xf numFmtId="49" fontId="151" fillId="18" borderId="13" xfId="41" applyNumberFormat="1" applyFont="1" applyFill="1" applyBorder="1" applyAlignment="1">
      <alignment horizontal="left" vertical="center"/>
    </xf>
    <xf numFmtId="0" fontId="158" fillId="0" borderId="0" xfId="41" applyFont="1" applyAlignment="1">
      <alignment horizontal="left" vertical="top" wrapText="1"/>
    </xf>
    <xf numFmtId="0" fontId="135" fillId="0" borderId="0" xfId="41" applyFont="1" applyAlignment="1">
      <alignment horizontal="left" vertical="top" wrapText="1"/>
    </xf>
    <xf numFmtId="49" fontId="158" fillId="0" borderId="0" xfId="41" applyNumberFormat="1" applyFont="1" applyAlignment="1">
      <alignment horizontal="center" vertical="top"/>
    </xf>
    <xf numFmtId="49" fontId="46" fillId="0" borderId="0" xfId="41" applyNumberFormat="1" applyFont="1" applyAlignment="1">
      <alignment horizontal="left" vertical="top"/>
    </xf>
    <xf numFmtId="49" fontId="160" fillId="0" borderId="0" xfId="41" applyNumberFormat="1" applyFont="1" applyAlignment="1">
      <alignment horizontal="center" vertical="top"/>
    </xf>
    <xf numFmtId="49" fontId="151" fillId="0" borderId="0" xfId="41" applyNumberFormat="1" applyFont="1" applyAlignment="1">
      <alignment horizontal="left" vertical="top"/>
    </xf>
    <xf numFmtId="0" fontId="158" fillId="0" borderId="0" xfId="41" applyFont="1" applyAlignment="1">
      <alignment horizontal="justify" vertical="top" wrapText="1"/>
    </xf>
    <xf numFmtId="49" fontId="158" fillId="0" borderId="0" xfId="41" applyNumberFormat="1" applyFont="1" applyAlignment="1">
      <alignment horizontal="left" vertical="top"/>
    </xf>
    <xf numFmtId="0" fontId="152" fillId="0" borderId="0" xfId="41" applyFont="1" applyAlignment="1">
      <alignment vertical="top" wrapText="1"/>
    </xf>
    <xf numFmtId="49" fontId="153" fillId="0" borderId="0" xfId="41" applyNumberFormat="1" applyFont="1" applyAlignment="1">
      <alignment horizontal="center" vertical="center" wrapText="1"/>
    </xf>
    <xf numFmtId="49" fontId="155" fillId="0" borderId="0" xfId="41" applyNumberFormat="1" applyFont="1" applyAlignment="1">
      <alignment horizontal="center" vertical="center" wrapText="1"/>
    </xf>
    <xf numFmtId="0" fontId="149" fillId="0" borderId="0" xfId="41" applyFont="1" applyAlignment="1">
      <alignment horizontal="left" wrapText="1"/>
    </xf>
    <xf numFmtId="0" fontId="149" fillId="0" borderId="0" xfId="41" applyFont="1" applyAlignment="1">
      <alignment horizontal="center" vertical="top" wrapText="1"/>
    </xf>
    <xf numFmtId="0" fontId="16" fillId="0" borderId="0" xfId="41" applyFont="1" applyAlignment="1">
      <alignment horizontal="left" vertical="top" wrapText="1" indent="8"/>
    </xf>
    <xf numFmtId="0" fontId="47" fillId="0" borderId="0" xfId="41" applyFont="1" applyAlignment="1">
      <alignment vertical="top" wrapText="1"/>
    </xf>
    <xf numFmtId="0" fontId="149" fillId="0" borderId="0" xfId="41" applyFont="1" applyAlignment="1">
      <alignment vertical="top" wrapText="1"/>
    </xf>
    <xf numFmtId="0" fontId="151" fillId="0" borderId="0" xfId="41" applyFont="1" applyAlignment="1">
      <alignment horizontal="left" vertical="top" wrapText="1" indent="3"/>
    </xf>
    <xf numFmtId="0" fontId="145" fillId="0" borderId="34" xfId="76" applyFont="1" applyBorder="1" applyAlignment="1">
      <alignment horizontal="right" vertical="top" wrapText="1"/>
    </xf>
    <xf numFmtId="0" fontId="5" fillId="0" borderId="34" xfId="48" applyBorder="1" applyAlignment="1">
      <alignment horizontal="right"/>
    </xf>
    <xf numFmtId="0" fontId="221" fillId="0" borderId="7" xfId="119" applyFont="1" applyBorder="1" applyAlignment="1">
      <alignment horizontal="center" vertical="top" wrapText="1"/>
    </xf>
    <xf numFmtId="49" fontId="91" fillId="0" borderId="16" xfId="119" applyNumberFormat="1" applyFont="1" applyBorder="1" applyAlignment="1">
      <alignment horizontal="center" vertical="center"/>
    </xf>
    <xf numFmtId="4" fontId="137" fillId="0" borderId="24" xfId="48" applyNumberFormat="1" applyFont="1" applyBorder="1" applyAlignment="1">
      <alignment horizontal="left" vertical="center"/>
    </xf>
    <xf numFmtId="44" fontId="137" fillId="0" borderId="24" xfId="48" applyNumberFormat="1" applyFont="1" applyBorder="1" applyAlignment="1">
      <alignment horizontal="right" vertical="center"/>
    </xf>
    <xf numFmtId="44" fontId="137" fillId="0" borderId="25" xfId="48" applyNumberFormat="1" applyFont="1" applyBorder="1" applyAlignment="1">
      <alignment horizontal="right" vertical="center"/>
    </xf>
    <xf numFmtId="4" fontId="137" fillId="0" borderId="14" xfId="48" applyNumberFormat="1" applyFont="1" applyBorder="1" applyAlignment="1">
      <alignment horizontal="left" vertical="center"/>
    </xf>
    <xf numFmtId="44" fontId="137" fillId="0" borderId="27" xfId="48" applyNumberFormat="1" applyFont="1" applyBorder="1" applyAlignment="1">
      <alignment horizontal="right" vertical="center"/>
    </xf>
    <xf numFmtId="44" fontId="137" fillId="0" borderId="28" xfId="48" applyNumberFormat="1" applyFont="1" applyBorder="1" applyAlignment="1">
      <alignment horizontal="right" vertical="center"/>
    </xf>
    <xf numFmtId="4" fontId="136" fillId="0" borderId="30" xfId="48" applyNumberFormat="1" applyFont="1" applyBorder="1" applyAlignment="1">
      <alignment horizontal="left" vertical="center"/>
    </xf>
    <xf numFmtId="44" fontId="136" fillId="0" borderId="30" xfId="48" applyNumberFormat="1" applyFont="1" applyBorder="1" applyAlignment="1">
      <alignment horizontal="right" vertical="center"/>
    </xf>
    <xf numFmtId="44" fontId="136" fillId="0" borderId="31" xfId="48" applyNumberFormat="1" applyFont="1" applyBorder="1" applyAlignment="1">
      <alignment horizontal="right" vertical="center"/>
    </xf>
    <xf numFmtId="4" fontId="137" fillId="0" borderId="21" xfId="48" applyNumberFormat="1" applyFont="1" applyBorder="1" applyAlignment="1">
      <alignment horizontal="left" vertical="center"/>
    </xf>
    <xf numFmtId="44" fontId="137" fillId="0" borderId="21" xfId="48" applyNumberFormat="1" applyFont="1" applyBorder="1" applyAlignment="1">
      <alignment horizontal="right" vertical="center"/>
    </xf>
    <xf numFmtId="44" fontId="137" fillId="0" borderId="22" xfId="48" applyNumberFormat="1" applyFont="1" applyBorder="1" applyAlignment="1">
      <alignment horizontal="right" vertical="center"/>
    </xf>
    <xf numFmtId="4" fontId="136" fillId="0" borderId="17" xfId="48" applyNumberFormat="1" applyFont="1" applyBorder="1" applyAlignment="1">
      <alignment horizontal="center" vertical="center"/>
    </xf>
    <xf numFmtId="4" fontId="136" fillId="0" borderId="18" xfId="48" applyNumberFormat="1" applyFont="1" applyBorder="1" applyAlignment="1">
      <alignment horizontal="center" vertical="center"/>
    </xf>
    <xf numFmtId="4" fontId="136" fillId="0" borderId="19" xfId="48" applyNumberFormat="1" applyFont="1" applyBorder="1" applyAlignment="1">
      <alignment horizontal="center" vertical="center"/>
    </xf>
    <xf numFmtId="44" fontId="137" fillId="0" borderId="32" xfId="48" applyNumberFormat="1" applyFont="1" applyBorder="1" applyAlignment="1">
      <alignment horizontal="right" vertical="center"/>
    </xf>
    <xf numFmtId="44" fontId="137" fillId="0" borderId="33" xfId="48" applyNumberFormat="1" applyFont="1" applyBorder="1" applyAlignment="1">
      <alignment horizontal="right" vertical="center"/>
    </xf>
  </cellXfs>
  <cellStyles count="129">
    <cellStyle name="Comma 10" xfId="73" xr:uid="{00000000-0005-0000-0000-000000000000}"/>
    <cellStyle name="Comma 2" xfId="89" xr:uid="{00000000-0005-0000-0000-000001000000}"/>
    <cellStyle name="Comma 2 2" xfId="123" xr:uid="{00000000-0005-0000-0000-000002000000}"/>
    <cellStyle name="Comma 2 3" xfId="120" xr:uid="{00000000-0005-0000-0000-000003000000}"/>
    <cellStyle name="Comma_Sheet1" xfId="45" xr:uid="{00000000-0005-0000-0000-000004000000}"/>
    <cellStyle name="Currency" xfId="22" xr:uid="{00000000-0005-0000-0000-000005000000}"/>
    <cellStyle name="Currency 2" xfId="23" xr:uid="{00000000-0005-0000-0000-000006000000}"/>
    <cellStyle name="Euro" xfId="86" xr:uid="{00000000-0005-0000-0000-000007000000}"/>
    <cellStyle name="Jedinica mjere" xfId="71" xr:uid="{00000000-0005-0000-0000-000008000000}"/>
    <cellStyle name="Jedinična cijena" xfId="70" xr:uid="{00000000-0005-0000-0000-000009000000}"/>
    <cellStyle name="Količina, cijena" xfId="69" xr:uid="{00000000-0005-0000-0000-00000A000000}"/>
    <cellStyle name="Normal 10" xfId="24" xr:uid="{00000000-0005-0000-0000-00000C000000}"/>
    <cellStyle name="Normal 10 2" xfId="47" xr:uid="{00000000-0005-0000-0000-00000D000000}"/>
    <cellStyle name="Normal 10 2 5" xfId="78" xr:uid="{00000000-0005-0000-0000-00000E000000}"/>
    <cellStyle name="Normal 100" xfId="11" xr:uid="{00000000-0005-0000-0000-00000F000000}"/>
    <cellStyle name="Normal 100 2" xfId="34" xr:uid="{00000000-0005-0000-0000-000010000000}"/>
    <cellStyle name="Normal 102" xfId="10" xr:uid="{00000000-0005-0000-0000-000011000000}"/>
    <cellStyle name="Normal 102 2" xfId="35" xr:uid="{00000000-0005-0000-0000-000012000000}"/>
    <cellStyle name="Normal 103" xfId="9" xr:uid="{00000000-0005-0000-0000-000013000000}"/>
    <cellStyle name="Normal 103 2" xfId="36" xr:uid="{00000000-0005-0000-0000-000014000000}"/>
    <cellStyle name="Normal 104" xfId="8" xr:uid="{00000000-0005-0000-0000-000015000000}"/>
    <cellStyle name="Normal 104 2" xfId="37" xr:uid="{00000000-0005-0000-0000-000016000000}"/>
    <cellStyle name="Normal 105" xfId="7" xr:uid="{00000000-0005-0000-0000-000017000000}"/>
    <cellStyle name="Normal 105 2" xfId="38" xr:uid="{00000000-0005-0000-0000-000018000000}"/>
    <cellStyle name="Normal 106" xfId="39" xr:uid="{00000000-0005-0000-0000-000019000000}"/>
    <cellStyle name="Normal 107" xfId="16" xr:uid="{00000000-0005-0000-0000-00001A000000}"/>
    <cellStyle name="Normal 108" xfId="15" xr:uid="{00000000-0005-0000-0000-00001B000000}"/>
    <cellStyle name="Normal 13" xfId="56" xr:uid="{00000000-0005-0000-0000-00001C000000}"/>
    <cellStyle name="Normal 13 2 3 4" xfId="5" xr:uid="{00000000-0005-0000-0000-00001D000000}"/>
    <cellStyle name="Normal 13 2 3 4 2" xfId="40" xr:uid="{00000000-0005-0000-0000-00001E000000}"/>
    <cellStyle name="Normal 14" xfId="54" xr:uid="{00000000-0005-0000-0000-00001F000000}"/>
    <cellStyle name="Normal 143" xfId="46" xr:uid="{00000000-0005-0000-0000-000020000000}"/>
    <cellStyle name="Normal 19 2" xfId="3" xr:uid="{00000000-0005-0000-0000-000021000000}"/>
    <cellStyle name="Normal 19 2 5" xfId="18" xr:uid="{00000000-0005-0000-0000-000022000000}"/>
    <cellStyle name="Normal 19 3 2" xfId="17" xr:uid="{00000000-0005-0000-0000-000023000000}"/>
    <cellStyle name="Normal 19 3 2 2" xfId="28" xr:uid="{00000000-0005-0000-0000-000024000000}"/>
    <cellStyle name="Normal 2" xfId="25" xr:uid="{00000000-0005-0000-0000-000025000000}"/>
    <cellStyle name="Normal 2 10" xfId="81" xr:uid="{00000000-0005-0000-0000-000026000000}"/>
    <cellStyle name="Normal 2 2" xfId="29" xr:uid="{00000000-0005-0000-0000-000027000000}"/>
    <cellStyle name="Normal 2 2 2" xfId="6" xr:uid="{00000000-0005-0000-0000-000028000000}"/>
    <cellStyle name="Normal 2 2 3 3" xfId="75" xr:uid="{00000000-0005-0000-0000-000029000000}"/>
    <cellStyle name="Normal 2 4 2 2 2" xfId="122" xr:uid="{00000000-0005-0000-0000-00002A000000}"/>
    <cellStyle name="Normal 2 83" xfId="119" xr:uid="{00000000-0005-0000-0000-00002B000000}"/>
    <cellStyle name="Normal 2 9 2 6" xfId="128" xr:uid="{00000000-0005-0000-0000-00002C000000}"/>
    <cellStyle name="Normal 20" xfId="126" xr:uid="{00000000-0005-0000-0000-00002D000000}"/>
    <cellStyle name="Normal 25" xfId="63" xr:uid="{00000000-0005-0000-0000-00002E000000}"/>
    <cellStyle name="Normal 3" xfId="26" xr:uid="{00000000-0005-0000-0000-00002F000000}"/>
    <cellStyle name="Normal 3 2" xfId="124" xr:uid="{00000000-0005-0000-0000-000030000000}"/>
    <cellStyle name="Normal 30" xfId="67" xr:uid="{00000000-0005-0000-0000-000031000000}"/>
    <cellStyle name="Normal 31" xfId="61" xr:uid="{00000000-0005-0000-0000-000032000000}"/>
    <cellStyle name="Normal 33" xfId="62" xr:uid="{00000000-0005-0000-0000-000033000000}"/>
    <cellStyle name="Normal 34" xfId="65" xr:uid="{00000000-0005-0000-0000-000034000000}"/>
    <cellStyle name="Normal 35" xfId="102" xr:uid="{00000000-0005-0000-0000-000035000000}"/>
    <cellStyle name="Normal 36" xfId="64" xr:uid="{00000000-0005-0000-0000-000036000000}"/>
    <cellStyle name="Normal 36 2" xfId="115" xr:uid="{00000000-0005-0000-0000-000037000000}"/>
    <cellStyle name="Normal 38" xfId="58" xr:uid="{00000000-0005-0000-0000-000038000000}"/>
    <cellStyle name="Normal 45" xfId="60" xr:uid="{00000000-0005-0000-0000-000039000000}"/>
    <cellStyle name="Normal 5" xfId="51" xr:uid="{00000000-0005-0000-0000-00003A000000}"/>
    <cellStyle name="Normal 58 9" xfId="1" xr:uid="{00000000-0005-0000-0000-00003B000000}"/>
    <cellStyle name="Normal 58 9 2" xfId="19" xr:uid="{00000000-0005-0000-0000-00003C000000}"/>
    <cellStyle name="Normal 58 9 2 2" xfId="117" xr:uid="{00000000-0005-0000-0000-00003D000000}"/>
    <cellStyle name="Normal 58 9 3" xfId="20" xr:uid="{00000000-0005-0000-0000-00003E000000}"/>
    <cellStyle name="Normal 6 2" xfId="66" xr:uid="{00000000-0005-0000-0000-00003F000000}"/>
    <cellStyle name="Normal 7" xfId="53" xr:uid="{00000000-0005-0000-0000-000040000000}"/>
    <cellStyle name="Normal 7 2 3" xfId="77" xr:uid="{00000000-0005-0000-0000-000041000000}"/>
    <cellStyle name="Normal 9" xfId="59" xr:uid="{00000000-0005-0000-0000-000042000000}"/>
    <cellStyle name="Normal 96" xfId="14" xr:uid="{00000000-0005-0000-0000-000043000000}"/>
    <cellStyle name="Normal 96 2" xfId="31" xr:uid="{00000000-0005-0000-0000-000044000000}"/>
    <cellStyle name="Normal 97" xfId="13" xr:uid="{00000000-0005-0000-0000-000045000000}"/>
    <cellStyle name="Normal 97 2" xfId="32" xr:uid="{00000000-0005-0000-0000-000046000000}"/>
    <cellStyle name="Normal 99" xfId="12" xr:uid="{00000000-0005-0000-0000-000047000000}"/>
    <cellStyle name="Normal 99 2" xfId="33" xr:uid="{00000000-0005-0000-0000-000048000000}"/>
    <cellStyle name="Normal_HR7-Z214" xfId="55" xr:uid="{00000000-0005-0000-0000-000049000000}"/>
    <cellStyle name="Normal_PPZ" xfId="49" xr:uid="{00000000-0005-0000-0000-00004A000000}"/>
    <cellStyle name="Normal_Sheet1" xfId="43" xr:uid="{00000000-0005-0000-0000-00004B000000}"/>
    <cellStyle name="Normal_Sheet1 2" xfId="50" xr:uid="{00000000-0005-0000-0000-00004C000000}"/>
    <cellStyle name="Normal_TROSKOVNIK-revizija2" xfId="57" xr:uid="{00000000-0005-0000-0000-00004D000000}"/>
    <cellStyle name="Normal_TROSKOVNIK-revizija2 2" xfId="92" xr:uid="{00000000-0005-0000-0000-00004E000000}"/>
    <cellStyle name="Normal_TROSKOVNIK-revizija2 3" xfId="98" xr:uid="{00000000-0005-0000-0000-00004F000000}"/>
    <cellStyle name="Normal_TROŠKOVNIK - KAM - ŽUTO" xfId="2" xr:uid="{00000000-0005-0000-0000-000050000000}"/>
    <cellStyle name="Normal_TROŠKOVNIK - KAM - ŽUTO 2" xfId="4" xr:uid="{00000000-0005-0000-0000-000051000000}"/>
    <cellStyle name="Normalno" xfId="0" builtinId="0"/>
    <cellStyle name="Normalno 2" xfId="21" xr:uid="{00000000-0005-0000-0000-000052000000}"/>
    <cellStyle name="Normalno 2 10" xfId="88" xr:uid="{00000000-0005-0000-0000-000053000000}"/>
    <cellStyle name="Normalno 2 2" xfId="27" xr:uid="{00000000-0005-0000-0000-000054000000}"/>
    <cellStyle name="Normalno 2 2 2 2 3" xfId="94" xr:uid="{00000000-0005-0000-0000-000055000000}"/>
    <cellStyle name="Normalno 2 2 2 3 2 2 2" xfId="112" xr:uid="{00000000-0005-0000-0000-000056000000}"/>
    <cellStyle name="Normalno 2 2 2 3 3" xfId="95" xr:uid="{00000000-0005-0000-0000-000057000000}"/>
    <cellStyle name="Normalno 2 3" xfId="84" xr:uid="{00000000-0005-0000-0000-000058000000}"/>
    <cellStyle name="Normalno 3" xfId="41" xr:uid="{00000000-0005-0000-0000-000059000000}"/>
    <cellStyle name="Normalno 3 2" xfId="76" xr:uid="{00000000-0005-0000-0000-00005A000000}"/>
    <cellStyle name="Normalno 3 3" xfId="79" xr:uid="{00000000-0005-0000-0000-00005B000000}"/>
    <cellStyle name="Normalno 4" xfId="48" xr:uid="{00000000-0005-0000-0000-00005C000000}"/>
    <cellStyle name="Normalno 4 2" xfId="116" xr:uid="{00000000-0005-0000-0000-00005D000000}"/>
    <cellStyle name="Normalno 5" xfId="125" xr:uid="{00000000-0005-0000-0000-00005E000000}"/>
    <cellStyle name="Normalno 6" xfId="127" xr:uid="{00000000-0005-0000-0000-00005F000000}"/>
    <cellStyle name="Obično 10 2 2" xfId="113" xr:uid="{00000000-0005-0000-0000-000060000000}"/>
    <cellStyle name="Obično 2" xfId="80" xr:uid="{00000000-0005-0000-0000-000061000000}"/>
    <cellStyle name="Obično 2 2 22" xfId="103" xr:uid="{00000000-0005-0000-0000-000062000000}"/>
    <cellStyle name="Obično 2 3" xfId="96" xr:uid="{00000000-0005-0000-0000-000063000000}"/>
    <cellStyle name="Obično 25" xfId="83" xr:uid="{00000000-0005-0000-0000-000064000000}"/>
    <cellStyle name="Obično 26" xfId="87" xr:uid="{00000000-0005-0000-0000-000065000000}"/>
    <cellStyle name="Obično 27" xfId="99" xr:uid="{00000000-0005-0000-0000-000066000000}"/>
    <cellStyle name="Obično 28" xfId="104" xr:uid="{00000000-0005-0000-0000-000067000000}"/>
    <cellStyle name="Obično 29" xfId="111" xr:uid="{00000000-0005-0000-0000-000068000000}"/>
    <cellStyle name="Obično 3 2" xfId="82" xr:uid="{00000000-0005-0000-0000-000069000000}"/>
    <cellStyle name="Obično 31" xfId="97" xr:uid="{00000000-0005-0000-0000-00006A000000}"/>
    <cellStyle name="Obično 32" xfId="105" xr:uid="{00000000-0005-0000-0000-00006B000000}"/>
    <cellStyle name="Obično 33" xfId="106" xr:uid="{00000000-0005-0000-0000-00006C000000}"/>
    <cellStyle name="Obično 34" xfId="108" xr:uid="{00000000-0005-0000-0000-00006D000000}"/>
    <cellStyle name="Obično 35" xfId="109" xr:uid="{00000000-0005-0000-0000-00006E000000}"/>
    <cellStyle name="Obično 36" xfId="110" xr:uid="{00000000-0005-0000-0000-00006F000000}"/>
    <cellStyle name="Obično 37" xfId="101" xr:uid="{00000000-0005-0000-0000-000070000000}"/>
    <cellStyle name="Obično 38" xfId="100" xr:uid="{00000000-0005-0000-0000-000071000000}"/>
    <cellStyle name="Obično 4 2 2" xfId="85" xr:uid="{00000000-0005-0000-0000-000072000000}"/>
    <cellStyle name="Obično 41" xfId="114" xr:uid="{00000000-0005-0000-0000-000073000000}"/>
    <cellStyle name="Obično 5 15" xfId="90" xr:uid="{00000000-0005-0000-0000-000074000000}"/>
    <cellStyle name="Obično_FEKALNA" xfId="107" xr:uid="{00000000-0005-0000-0000-000075000000}"/>
    <cellStyle name="Percent 2" xfId="121" xr:uid="{00000000-0005-0000-0000-000076000000}"/>
    <cellStyle name="Redni broj" xfId="72" xr:uid="{00000000-0005-0000-0000-000077000000}"/>
    <cellStyle name="Stavka" xfId="68" xr:uid="{00000000-0005-0000-0000-000078000000}"/>
    <cellStyle name="Tekst objašnjenja 2" xfId="42" xr:uid="{00000000-0005-0000-0000-000079000000}"/>
    <cellStyle name="Troškovnik" xfId="118" xr:uid="{00000000-0005-0000-0000-00007A000000}"/>
    <cellStyle name="Valuta 2" xfId="52" xr:uid="{00000000-0005-0000-0000-00007B000000}"/>
    <cellStyle name="Zarez 13" xfId="30" xr:uid="{00000000-0005-0000-0000-00007C000000}"/>
    <cellStyle name="Zarez 2" xfId="44" xr:uid="{00000000-0005-0000-0000-00007D000000}"/>
    <cellStyle name="Zarez 3" xfId="74" xr:uid="{00000000-0005-0000-0000-00007E000000}"/>
    <cellStyle name="Zarez 3 23" xfId="91" xr:uid="{00000000-0005-0000-0000-00007F000000}"/>
    <cellStyle name="Zarez 4" xfId="93" xr:uid="{00000000-0005-0000-0000-000080000000}"/>
  </cellStyles>
  <dxfs count="1">
    <dxf>
      <font>
        <condense val="0"/>
        <extend val="0"/>
        <color indexed="9"/>
      </font>
    </dxf>
  </dxfs>
  <tableStyles count="0" defaultTableStyle="TableStyleMedium2" defaultPivotStyle="PivotStyleLight16"/>
  <colors>
    <mruColors>
      <color rgb="FFFF66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wmf"/></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46</xdr:row>
      <xdr:rowOff>49601</xdr:rowOff>
    </xdr:from>
    <xdr:ext cx="1912620" cy="1187138"/>
    <xdr:pic>
      <xdr:nvPicPr>
        <xdr:cNvPr id="2" name="Slika 1">
          <a:extLst>
            <a:ext uri="{FF2B5EF4-FFF2-40B4-BE49-F238E27FC236}">
              <a16:creationId xmlns:a16="http://schemas.microsoft.com/office/drawing/2014/main" id="{D4908487-4B57-49AB-A12B-C61BE5134A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 y="6926651"/>
          <a:ext cx="1912620" cy="118713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923925</xdr:colOff>
      <xdr:row>0</xdr:row>
      <xdr:rowOff>0</xdr:rowOff>
    </xdr:from>
    <xdr:to>
      <xdr:col>1</xdr:col>
      <xdr:colOff>2933700</xdr:colOff>
      <xdr:row>1</xdr:row>
      <xdr:rowOff>47625</xdr:rowOff>
    </xdr:to>
    <xdr:sp macro="" textlink="">
      <xdr:nvSpPr>
        <xdr:cNvPr id="2" name="Text Box 18">
          <a:extLst>
            <a:ext uri="{FF2B5EF4-FFF2-40B4-BE49-F238E27FC236}">
              <a16:creationId xmlns:a16="http://schemas.microsoft.com/office/drawing/2014/main" id="{CD3C7FDA-924D-4F56-BD5B-BE687EACF7C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 name="Text Box 5">
          <a:extLst>
            <a:ext uri="{FF2B5EF4-FFF2-40B4-BE49-F238E27FC236}">
              <a16:creationId xmlns:a16="http://schemas.microsoft.com/office/drawing/2014/main" id="{1F98343C-27B4-4345-9EF0-7E228F6413BA}"/>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 name="Text Box 18">
          <a:extLst>
            <a:ext uri="{FF2B5EF4-FFF2-40B4-BE49-F238E27FC236}">
              <a16:creationId xmlns:a16="http://schemas.microsoft.com/office/drawing/2014/main" id="{51B9FC98-777E-49F3-92BD-C2436DF68DC2}"/>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 name="Text Box 5">
          <a:extLst>
            <a:ext uri="{FF2B5EF4-FFF2-40B4-BE49-F238E27FC236}">
              <a16:creationId xmlns:a16="http://schemas.microsoft.com/office/drawing/2014/main" id="{8E785487-D28D-4C93-80D4-1F02C880360E}"/>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 name="Text Box 10">
          <a:extLst>
            <a:ext uri="{FF2B5EF4-FFF2-40B4-BE49-F238E27FC236}">
              <a16:creationId xmlns:a16="http://schemas.microsoft.com/office/drawing/2014/main" id="{0841FBAB-2B11-4BB2-9FD9-083D0BEDDE85}"/>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 name="Text Box 9">
          <a:extLst>
            <a:ext uri="{FF2B5EF4-FFF2-40B4-BE49-F238E27FC236}">
              <a16:creationId xmlns:a16="http://schemas.microsoft.com/office/drawing/2014/main" id="{7A42575A-3502-4120-83C9-CB7FE1CD6F89}"/>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8" name="Text Box 5">
          <a:extLst>
            <a:ext uri="{FF2B5EF4-FFF2-40B4-BE49-F238E27FC236}">
              <a16:creationId xmlns:a16="http://schemas.microsoft.com/office/drawing/2014/main" id="{750013FC-F8A7-4800-A87D-BDD116CBFBEA}"/>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9" name="Text Box 18">
          <a:extLst>
            <a:ext uri="{FF2B5EF4-FFF2-40B4-BE49-F238E27FC236}">
              <a16:creationId xmlns:a16="http://schemas.microsoft.com/office/drawing/2014/main" id="{790603B7-0B0B-4753-9D6C-1514A28FA621}"/>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0" name="Text Box 5">
          <a:extLst>
            <a:ext uri="{FF2B5EF4-FFF2-40B4-BE49-F238E27FC236}">
              <a16:creationId xmlns:a16="http://schemas.microsoft.com/office/drawing/2014/main" id="{86B9178C-500A-48AB-9D18-B50E218DB21A}"/>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1" name="Text Box 5">
          <a:extLst>
            <a:ext uri="{FF2B5EF4-FFF2-40B4-BE49-F238E27FC236}">
              <a16:creationId xmlns:a16="http://schemas.microsoft.com/office/drawing/2014/main" id="{AC79DAC0-81F3-4F9F-8437-DA0F61347294}"/>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2" name="Text Box 18">
          <a:extLst>
            <a:ext uri="{FF2B5EF4-FFF2-40B4-BE49-F238E27FC236}">
              <a16:creationId xmlns:a16="http://schemas.microsoft.com/office/drawing/2014/main" id="{FF9034E1-CF45-481E-AF0C-195111D8B7C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3" name="Text Box 5">
          <a:extLst>
            <a:ext uri="{FF2B5EF4-FFF2-40B4-BE49-F238E27FC236}">
              <a16:creationId xmlns:a16="http://schemas.microsoft.com/office/drawing/2014/main" id="{5376CE8B-1D68-4548-B575-E4071880C4CC}"/>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4" name="Text Box 10">
          <a:extLst>
            <a:ext uri="{FF2B5EF4-FFF2-40B4-BE49-F238E27FC236}">
              <a16:creationId xmlns:a16="http://schemas.microsoft.com/office/drawing/2014/main" id="{CA7AE12C-F95D-4B01-8CCE-57C76BAE6517}"/>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5" name="Text Box 9">
          <a:extLst>
            <a:ext uri="{FF2B5EF4-FFF2-40B4-BE49-F238E27FC236}">
              <a16:creationId xmlns:a16="http://schemas.microsoft.com/office/drawing/2014/main" id="{5F7A314E-6319-4E6E-964A-05C715495CB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6" name="Text Box 5">
          <a:extLst>
            <a:ext uri="{FF2B5EF4-FFF2-40B4-BE49-F238E27FC236}">
              <a16:creationId xmlns:a16="http://schemas.microsoft.com/office/drawing/2014/main" id="{7EB799FD-C29A-44C9-AFC7-FE4E067D758E}"/>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7" name="Text Box 18">
          <a:extLst>
            <a:ext uri="{FF2B5EF4-FFF2-40B4-BE49-F238E27FC236}">
              <a16:creationId xmlns:a16="http://schemas.microsoft.com/office/drawing/2014/main" id="{8DD334C8-28D8-40E3-99EB-CDD249B48D6D}"/>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8" name="Text Box 5">
          <a:extLst>
            <a:ext uri="{FF2B5EF4-FFF2-40B4-BE49-F238E27FC236}">
              <a16:creationId xmlns:a16="http://schemas.microsoft.com/office/drawing/2014/main" id="{82A1336B-4CAF-4A26-849D-F8DA802C42FD}"/>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9" name="Text Box 18">
          <a:extLst>
            <a:ext uri="{FF2B5EF4-FFF2-40B4-BE49-F238E27FC236}">
              <a16:creationId xmlns:a16="http://schemas.microsoft.com/office/drawing/2014/main" id="{4AC76640-9E0E-4105-895C-E4CC78C930F7}"/>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0" name="Text Box 5">
          <a:extLst>
            <a:ext uri="{FF2B5EF4-FFF2-40B4-BE49-F238E27FC236}">
              <a16:creationId xmlns:a16="http://schemas.microsoft.com/office/drawing/2014/main" id="{D9B6B0A7-5BE3-43C6-A0C3-63B46F350BC5}"/>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1" name="Text Box 18">
          <a:extLst>
            <a:ext uri="{FF2B5EF4-FFF2-40B4-BE49-F238E27FC236}">
              <a16:creationId xmlns:a16="http://schemas.microsoft.com/office/drawing/2014/main" id="{6B7CD015-015A-4904-A63E-F641F9478181}"/>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2" name="Text Box 5">
          <a:extLst>
            <a:ext uri="{FF2B5EF4-FFF2-40B4-BE49-F238E27FC236}">
              <a16:creationId xmlns:a16="http://schemas.microsoft.com/office/drawing/2014/main" id="{D51AB996-37F0-4020-A24F-D9B1D72F0B66}"/>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3" name="Text Box 10">
          <a:extLst>
            <a:ext uri="{FF2B5EF4-FFF2-40B4-BE49-F238E27FC236}">
              <a16:creationId xmlns:a16="http://schemas.microsoft.com/office/drawing/2014/main" id="{8B5AE0FB-4FEA-45FF-B602-9934A4F3AE3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4" name="Text Box 9">
          <a:extLst>
            <a:ext uri="{FF2B5EF4-FFF2-40B4-BE49-F238E27FC236}">
              <a16:creationId xmlns:a16="http://schemas.microsoft.com/office/drawing/2014/main" id="{6530BE4C-40B1-4CE4-8E85-3C17D0E53D2E}"/>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5" name="Text Box 5">
          <a:extLst>
            <a:ext uri="{FF2B5EF4-FFF2-40B4-BE49-F238E27FC236}">
              <a16:creationId xmlns:a16="http://schemas.microsoft.com/office/drawing/2014/main" id="{7EA5DE56-50E8-4788-A45B-A63B9B53D46C}"/>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6" name="Text Box 18">
          <a:extLst>
            <a:ext uri="{FF2B5EF4-FFF2-40B4-BE49-F238E27FC236}">
              <a16:creationId xmlns:a16="http://schemas.microsoft.com/office/drawing/2014/main" id="{3AD24CE2-95CB-4F44-9101-82C9798987B8}"/>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7" name="Text Box 5">
          <a:extLst>
            <a:ext uri="{FF2B5EF4-FFF2-40B4-BE49-F238E27FC236}">
              <a16:creationId xmlns:a16="http://schemas.microsoft.com/office/drawing/2014/main" id="{E7C15D4E-293E-4880-94C8-600059B3BCCC}"/>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8" name="Text Box 18">
          <a:extLst>
            <a:ext uri="{FF2B5EF4-FFF2-40B4-BE49-F238E27FC236}">
              <a16:creationId xmlns:a16="http://schemas.microsoft.com/office/drawing/2014/main" id="{491FBB9A-F3C7-4B0A-BD5A-0E78425A344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9" name="Text Box 5">
          <a:extLst>
            <a:ext uri="{FF2B5EF4-FFF2-40B4-BE49-F238E27FC236}">
              <a16:creationId xmlns:a16="http://schemas.microsoft.com/office/drawing/2014/main" id="{6693DDF8-ACA8-4464-87E2-7365538B28DF}"/>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0" name="Text Box 18">
          <a:extLst>
            <a:ext uri="{FF2B5EF4-FFF2-40B4-BE49-F238E27FC236}">
              <a16:creationId xmlns:a16="http://schemas.microsoft.com/office/drawing/2014/main" id="{87626E89-3B02-4284-9A3E-91D7801C71DB}"/>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1" name="Text Box 5">
          <a:extLst>
            <a:ext uri="{FF2B5EF4-FFF2-40B4-BE49-F238E27FC236}">
              <a16:creationId xmlns:a16="http://schemas.microsoft.com/office/drawing/2014/main" id="{D39C4D50-79EA-462C-9FFE-D7053E86E615}"/>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2" name="Text Box 10">
          <a:extLst>
            <a:ext uri="{FF2B5EF4-FFF2-40B4-BE49-F238E27FC236}">
              <a16:creationId xmlns:a16="http://schemas.microsoft.com/office/drawing/2014/main" id="{E38433A8-349C-464A-BB8D-50939E1E448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3" name="Text Box 9">
          <a:extLst>
            <a:ext uri="{FF2B5EF4-FFF2-40B4-BE49-F238E27FC236}">
              <a16:creationId xmlns:a16="http://schemas.microsoft.com/office/drawing/2014/main" id="{2F0776F2-E2D2-4BB4-ACDF-09A1339F7BF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4" name="Text Box 5">
          <a:extLst>
            <a:ext uri="{FF2B5EF4-FFF2-40B4-BE49-F238E27FC236}">
              <a16:creationId xmlns:a16="http://schemas.microsoft.com/office/drawing/2014/main" id="{BCB9F53A-88C6-4B71-9AA5-4481CE34F740}"/>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5" name="Text Box 18">
          <a:extLst>
            <a:ext uri="{FF2B5EF4-FFF2-40B4-BE49-F238E27FC236}">
              <a16:creationId xmlns:a16="http://schemas.microsoft.com/office/drawing/2014/main" id="{744C334A-34EC-4A72-9D92-4ED920C58A07}"/>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6" name="Text Box 5">
          <a:extLst>
            <a:ext uri="{FF2B5EF4-FFF2-40B4-BE49-F238E27FC236}">
              <a16:creationId xmlns:a16="http://schemas.microsoft.com/office/drawing/2014/main" id="{950DFD75-A0A7-4100-A204-F3940C75F00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7" name="Text Box 5">
          <a:extLst>
            <a:ext uri="{FF2B5EF4-FFF2-40B4-BE49-F238E27FC236}">
              <a16:creationId xmlns:a16="http://schemas.microsoft.com/office/drawing/2014/main" id="{887206BF-441E-4038-9AA1-BAA611046B25}"/>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8" name="Text Box 18">
          <a:extLst>
            <a:ext uri="{FF2B5EF4-FFF2-40B4-BE49-F238E27FC236}">
              <a16:creationId xmlns:a16="http://schemas.microsoft.com/office/drawing/2014/main" id="{30FE084D-CCD0-4007-98BC-167A757468AE}"/>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9" name="Text Box 5">
          <a:extLst>
            <a:ext uri="{FF2B5EF4-FFF2-40B4-BE49-F238E27FC236}">
              <a16:creationId xmlns:a16="http://schemas.microsoft.com/office/drawing/2014/main" id="{43D91BFB-48C2-4924-96DD-0ECDBD4003CA}"/>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0" name="Text Box 10">
          <a:extLst>
            <a:ext uri="{FF2B5EF4-FFF2-40B4-BE49-F238E27FC236}">
              <a16:creationId xmlns:a16="http://schemas.microsoft.com/office/drawing/2014/main" id="{9AA8F718-3837-41FB-9040-93565D32236D}"/>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1" name="Text Box 9">
          <a:extLst>
            <a:ext uri="{FF2B5EF4-FFF2-40B4-BE49-F238E27FC236}">
              <a16:creationId xmlns:a16="http://schemas.microsoft.com/office/drawing/2014/main" id="{1DBC537B-3673-479D-949B-23C99B8377C6}"/>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2" name="Text Box 5">
          <a:extLst>
            <a:ext uri="{FF2B5EF4-FFF2-40B4-BE49-F238E27FC236}">
              <a16:creationId xmlns:a16="http://schemas.microsoft.com/office/drawing/2014/main" id="{BA5A447C-AC75-4444-9873-CDA5A57035B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3" name="Text Box 18">
          <a:extLst>
            <a:ext uri="{FF2B5EF4-FFF2-40B4-BE49-F238E27FC236}">
              <a16:creationId xmlns:a16="http://schemas.microsoft.com/office/drawing/2014/main" id="{F39735A5-565F-445B-871E-6FDA047D1885}"/>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4" name="Text Box 5">
          <a:extLst>
            <a:ext uri="{FF2B5EF4-FFF2-40B4-BE49-F238E27FC236}">
              <a16:creationId xmlns:a16="http://schemas.microsoft.com/office/drawing/2014/main" id="{C24E27D4-ADC3-4806-91BC-65529BBD040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5" name="Text Box 18">
          <a:extLst>
            <a:ext uri="{FF2B5EF4-FFF2-40B4-BE49-F238E27FC236}">
              <a16:creationId xmlns:a16="http://schemas.microsoft.com/office/drawing/2014/main" id="{B7311E7A-DAB1-43B3-8240-5BD3ACBF48CD}"/>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6" name="Text Box 5">
          <a:extLst>
            <a:ext uri="{FF2B5EF4-FFF2-40B4-BE49-F238E27FC236}">
              <a16:creationId xmlns:a16="http://schemas.microsoft.com/office/drawing/2014/main" id="{4819A23D-5023-4698-A9A6-9CD8736420E2}"/>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7" name="Text Box 18">
          <a:extLst>
            <a:ext uri="{FF2B5EF4-FFF2-40B4-BE49-F238E27FC236}">
              <a16:creationId xmlns:a16="http://schemas.microsoft.com/office/drawing/2014/main" id="{0FCC4D50-3283-4987-8E1A-C9EE32090651}"/>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8" name="Text Box 5">
          <a:extLst>
            <a:ext uri="{FF2B5EF4-FFF2-40B4-BE49-F238E27FC236}">
              <a16:creationId xmlns:a16="http://schemas.microsoft.com/office/drawing/2014/main" id="{C1DBB0DD-0B54-4E98-9098-A90300C633F8}"/>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9" name="Text Box 10">
          <a:extLst>
            <a:ext uri="{FF2B5EF4-FFF2-40B4-BE49-F238E27FC236}">
              <a16:creationId xmlns:a16="http://schemas.microsoft.com/office/drawing/2014/main" id="{8E297A7B-5828-4ED8-A13A-68FFFF660CE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0" name="Text Box 9">
          <a:extLst>
            <a:ext uri="{FF2B5EF4-FFF2-40B4-BE49-F238E27FC236}">
              <a16:creationId xmlns:a16="http://schemas.microsoft.com/office/drawing/2014/main" id="{D4C2B38E-B55E-4D6C-BF88-6C52A648ACA7}"/>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1" name="Text Box 5">
          <a:extLst>
            <a:ext uri="{FF2B5EF4-FFF2-40B4-BE49-F238E27FC236}">
              <a16:creationId xmlns:a16="http://schemas.microsoft.com/office/drawing/2014/main" id="{188F6EF5-36B6-4AB3-B999-2A5EEB8BF2B5}"/>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2" name="Text Box 18">
          <a:extLst>
            <a:ext uri="{FF2B5EF4-FFF2-40B4-BE49-F238E27FC236}">
              <a16:creationId xmlns:a16="http://schemas.microsoft.com/office/drawing/2014/main" id="{F87A6721-A32A-4D26-BD06-D3130CA9CDEF}"/>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3" name="Text Box 5">
          <a:extLst>
            <a:ext uri="{FF2B5EF4-FFF2-40B4-BE49-F238E27FC236}">
              <a16:creationId xmlns:a16="http://schemas.microsoft.com/office/drawing/2014/main" id="{D214B259-9E03-4DBA-9746-D2D407521A36}"/>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4" name="Text Box 18">
          <a:extLst>
            <a:ext uri="{FF2B5EF4-FFF2-40B4-BE49-F238E27FC236}">
              <a16:creationId xmlns:a16="http://schemas.microsoft.com/office/drawing/2014/main" id="{B72B5C7D-528A-4CE2-8C46-E977710EC182}"/>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5" name="Text Box 5">
          <a:extLst>
            <a:ext uri="{FF2B5EF4-FFF2-40B4-BE49-F238E27FC236}">
              <a16:creationId xmlns:a16="http://schemas.microsoft.com/office/drawing/2014/main" id="{1807C42B-2B85-4136-B939-22E00C267B32}"/>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6" name="Text Box 18">
          <a:extLst>
            <a:ext uri="{FF2B5EF4-FFF2-40B4-BE49-F238E27FC236}">
              <a16:creationId xmlns:a16="http://schemas.microsoft.com/office/drawing/2014/main" id="{B4FA0E01-1D31-4F70-8A4D-B16EBFA51DCB}"/>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7" name="Text Box 5">
          <a:extLst>
            <a:ext uri="{FF2B5EF4-FFF2-40B4-BE49-F238E27FC236}">
              <a16:creationId xmlns:a16="http://schemas.microsoft.com/office/drawing/2014/main" id="{D80FE69E-0451-4179-B25D-77E900974316}"/>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8" name="Text Box 10">
          <a:extLst>
            <a:ext uri="{FF2B5EF4-FFF2-40B4-BE49-F238E27FC236}">
              <a16:creationId xmlns:a16="http://schemas.microsoft.com/office/drawing/2014/main" id="{3138841C-633A-42A9-97AF-52622BA46A46}"/>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9" name="Text Box 9">
          <a:extLst>
            <a:ext uri="{FF2B5EF4-FFF2-40B4-BE49-F238E27FC236}">
              <a16:creationId xmlns:a16="http://schemas.microsoft.com/office/drawing/2014/main" id="{1585D5C5-4545-4576-97FE-42B2AED37157}"/>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0" name="Text Box 5">
          <a:extLst>
            <a:ext uri="{FF2B5EF4-FFF2-40B4-BE49-F238E27FC236}">
              <a16:creationId xmlns:a16="http://schemas.microsoft.com/office/drawing/2014/main" id="{6C29A6FA-72AB-4D00-8F91-6C0D54A56020}"/>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1" name="Text Box 18">
          <a:extLst>
            <a:ext uri="{FF2B5EF4-FFF2-40B4-BE49-F238E27FC236}">
              <a16:creationId xmlns:a16="http://schemas.microsoft.com/office/drawing/2014/main" id="{D042A04F-CF52-49C4-872A-499FA84A5D0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2" name="Text Box 5">
          <a:extLst>
            <a:ext uri="{FF2B5EF4-FFF2-40B4-BE49-F238E27FC236}">
              <a16:creationId xmlns:a16="http://schemas.microsoft.com/office/drawing/2014/main" id="{AE68A667-B19C-40C9-922F-29CD1E3D2BA7}"/>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3" name="Text Box 5">
          <a:extLst>
            <a:ext uri="{FF2B5EF4-FFF2-40B4-BE49-F238E27FC236}">
              <a16:creationId xmlns:a16="http://schemas.microsoft.com/office/drawing/2014/main" id="{9C994353-D5A6-4B2E-A9BB-40579787B0F1}"/>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4" name="Text Box 18">
          <a:extLst>
            <a:ext uri="{FF2B5EF4-FFF2-40B4-BE49-F238E27FC236}">
              <a16:creationId xmlns:a16="http://schemas.microsoft.com/office/drawing/2014/main" id="{44C63F67-727B-42D4-980E-6A487DC50330}"/>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5" name="Text Box 5">
          <a:extLst>
            <a:ext uri="{FF2B5EF4-FFF2-40B4-BE49-F238E27FC236}">
              <a16:creationId xmlns:a16="http://schemas.microsoft.com/office/drawing/2014/main" id="{5E04266E-2595-44A2-BA62-D25161EA1666}"/>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6" name="Text Box 10">
          <a:extLst>
            <a:ext uri="{FF2B5EF4-FFF2-40B4-BE49-F238E27FC236}">
              <a16:creationId xmlns:a16="http://schemas.microsoft.com/office/drawing/2014/main" id="{98BA8A8C-46D4-4D7E-8F4F-47AE9A8ACE1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7" name="Text Box 9">
          <a:extLst>
            <a:ext uri="{FF2B5EF4-FFF2-40B4-BE49-F238E27FC236}">
              <a16:creationId xmlns:a16="http://schemas.microsoft.com/office/drawing/2014/main" id="{0A82672A-6A23-4B14-A31A-BFC71C57FD38}"/>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8" name="Text Box 5">
          <a:extLst>
            <a:ext uri="{FF2B5EF4-FFF2-40B4-BE49-F238E27FC236}">
              <a16:creationId xmlns:a16="http://schemas.microsoft.com/office/drawing/2014/main" id="{F0635BA4-811B-49AC-A51C-E680632246BD}"/>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9" name="Text Box 18">
          <a:extLst>
            <a:ext uri="{FF2B5EF4-FFF2-40B4-BE49-F238E27FC236}">
              <a16:creationId xmlns:a16="http://schemas.microsoft.com/office/drawing/2014/main" id="{40E46F8C-BEA1-42A2-94E7-DC1BC7E01B18}"/>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70" name="Text Box 5">
          <a:extLst>
            <a:ext uri="{FF2B5EF4-FFF2-40B4-BE49-F238E27FC236}">
              <a16:creationId xmlns:a16="http://schemas.microsoft.com/office/drawing/2014/main" id="{F0C9A6AA-111A-42F3-8134-77CB4B57BC50}"/>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1" name="Text Box 18">
          <a:extLst>
            <a:ext uri="{FF2B5EF4-FFF2-40B4-BE49-F238E27FC236}">
              <a16:creationId xmlns:a16="http://schemas.microsoft.com/office/drawing/2014/main" id="{484F0C25-A02C-4025-A734-65E5AB2E3882}"/>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72" name="Text Box 5">
          <a:extLst>
            <a:ext uri="{FF2B5EF4-FFF2-40B4-BE49-F238E27FC236}">
              <a16:creationId xmlns:a16="http://schemas.microsoft.com/office/drawing/2014/main" id="{72414ADD-A1CA-4B63-ADBC-4DF4A24F3426}"/>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3" name="Text Box 18">
          <a:extLst>
            <a:ext uri="{FF2B5EF4-FFF2-40B4-BE49-F238E27FC236}">
              <a16:creationId xmlns:a16="http://schemas.microsoft.com/office/drawing/2014/main" id="{EB6B5D43-0DE6-448D-A50F-41AA7B4DE8D5}"/>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74" name="Text Box 5">
          <a:extLst>
            <a:ext uri="{FF2B5EF4-FFF2-40B4-BE49-F238E27FC236}">
              <a16:creationId xmlns:a16="http://schemas.microsoft.com/office/drawing/2014/main" id="{A4D28256-E03F-4D09-B894-782DA5A9D9A0}"/>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5" name="Text Box 10">
          <a:extLst>
            <a:ext uri="{FF2B5EF4-FFF2-40B4-BE49-F238E27FC236}">
              <a16:creationId xmlns:a16="http://schemas.microsoft.com/office/drawing/2014/main" id="{FB01437A-B7D1-4B45-A9AD-B9C0BDFFD59F}"/>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6" name="Text Box 9">
          <a:extLst>
            <a:ext uri="{FF2B5EF4-FFF2-40B4-BE49-F238E27FC236}">
              <a16:creationId xmlns:a16="http://schemas.microsoft.com/office/drawing/2014/main" id="{BF5807B5-CF03-4D64-9D9C-DBA6C28250E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77" name="Text Box 5">
          <a:extLst>
            <a:ext uri="{FF2B5EF4-FFF2-40B4-BE49-F238E27FC236}">
              <a16:creationId xmlns:a16="http://schemas.microsoft.com/office/drawing/2014/main" id="{73E32C85-ACB3-4E5C-8595-D9C96A6574A4}"/>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8" name="Text Box 18">
          <a:extLst>
            <a:ext uri="{FF2B5EF4-FFF2-40B4-BE49-F238E27FC236}">
              <a16:creationId xmlns:a16="http://schemas.microsoft.com/office/drawing/2014/main" id="{34992C85-7BF0-4E47-9939-E4B4F8E48D60}"/>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79" name="Text Box 5">
          <a:extLst>
            <a:ext uri="{FF2B5EF4-FFF2-40B4-BE49-F238E27FC236}">
              <a16:creationId xmlns:a16="http://schemas.microsoft.com/office/drawing/2014/main" id="{1F0DE5E8-5263-4B22-B389-5CDE49DB922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80" name="Text Box 18">
          <a:extLst>
            <a:ext uri="{FF2B5EF4-FFF2-40B4-BE49-F238E27FC236}">
              <a16:creationId xmlns:a16="http://schemas.microsoft.com/office/drawing/2014/main" id="{621255C6-CF40-4414-8279-C1A1BF149388}"/>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81" name="Text Box 5">
          <a:extLst>
            <a:ext uri="{FF2B5EF4-FFF2-40B4-BE49-F238E27FC236}">
              <a16:creationId xmlns:a16="http://schemas.microsoft.com/office/drawing/2014/main" id="{3278BC60-98ED-477E-A93F-5CBCFB0E4841}"/>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82" name="Text Box 18">
          <a:extLst>
            <a:ext uri="{FF2B5EF4-FFF2-40B4-BE49-F238E27FC236}">
              <a16:creationId xmlns:a16="http://schemas.microsoft.com/office/drawing/2014/main" id="{0FB480D8-DB06-456B-95FE-55DF30778680}"/>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83" name="Text Box 5">
          <a:extLst>
            <a:ext uri="{FF2B5EF4-FFF2-40B4-BE49-F238E27FC236}">
              <a16:creationId xmlns:a16="http://schemas.microsoft.com/office/drawing/2014/main" id="{57E1F08A-7649-4BCE-89AD-C6F1930D87A4}"/>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84" name="Text Box 10">
          <a:extLst>
            <a:ext uri="{FF2B5EF4-FFF2-40B4-BE49-F238E27FC236}">
              <a16:creationId xmlns:a16="http://schemas.microsoft.com/office/drawing/2014/main" id="{7C4F4D2C-933F-4BF1-8845-30FDEB498742}"/>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85" name="Text Box 9">
          <a:extLst>
            <a:ext uri="{FF2B5EF4-FFF2-40B4-BE49-F238E27FC236}">
              <a16:creationId xmlns:a16="http://schemas.microsoft.com/office/drawing/2014/main" id="{34357C8A-F109-4048-92FC-C19BBE1A3406}"/>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86" name="Text Box 5">
          <a:extLst>
            <a:ext uri="{FF2B5EF4-FFF2-40B4-BE49-F238E27FC236}">
              <a16:creationId xmlns:a16="http://schemas.microsoft.com/office/drawing/2014/main" id="{5480D1DD-1E98-424A-AE51-EF768B02B5DB}"/>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87" name="Text Box 18">
          <a:extLst>
            <a:ext uri="{FF2B5EF4-FFF2-40B4-BE49-F238E27FC236}">
              <a16:creationId xmlns:a16="http://schemas.microsoft.com/office/drawing/2014/main" id="{E4F717A2-2BFA-4C97-B8D2-F17019BB9DD6}"/>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88" name="Text Box 5">
          <a:extLst>
            <a:ext uri="{FF2B5EF4-FFF2-40B4-BE49-F238E27FC236}">
              <a16:creationId xmlns:a16="http://schemas.microsoft.com/office/drawing/2014/main" id="{8776B89F-5FB3-4125-B2D4-37CB22703466}"/>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89" name="Text Box 5">
          <a:extLst>
            <a:ext uri="{FF2B5EF4-FFF2-40B4-BE49-F238E27FC236}">
              <a16:creationId xmlns:a16="http://schemas.microsoft.com/office/drawing/2014/main" id="{BAA7232E-7F92-44F2-A09F-0842221D6B5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90" name="Text Box 18">
          <a:extLst>
            <a:ext uri="{FF2B5EF4-FFF2-40B4-BE49-F238E27FC236}">
              <a16:creationId xmlns:a16="http://schemas.microsoft.com/office/drawing/2014/main" id="{492EC91C-BDD7-4517-A089-2E60623333F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91" name="Text Box 5">
          <a:extLst>
            <a:ext uri="{FF2B5EF4-FFF2-40B4-BE49-F238E27FC236}">
              <a16:creationId xmlns:a16="http://schemas.microsoft.com/office/drawing/2014/main" id="{B37BF798-9495-405B-A888-E25C4898E0C0}"/>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92" name="Text Box 10">
          <a:extLst>
            <a:ext uri="{FF2B5EF4-FFF2-40B4-BE49-F238E27FC236}">
              <a16:creationId xmlns:a16="http://schemas.microsoft.com/office/drawing/2014/main" id="{25E85BD5-C448-41F1-A1CC-CAE3BADACA69}"/>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93" name="Text Box 9">
          <a:extLst>
            <a:ext uri="{FF2B5EF4-FFF2-40B4-BE49-F238E27FC236}">
              <a16:creationId xmlns:a16="http://schemas.microsoft.com/office/drawing/2014/main" id="{AC35F62C-382F-4881-8F31-9A1641053A9F}"/>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94" name="Text Box 5">
          <a:extLst>
            <a:ext uri="{FF2B5EF4-FFF2-40B4-BE49-F238E27FC236}">
              <a16:creationId xmlns:a16="http://schemas.microsoft.com/office/drawing/2014/main" id="{2682B81E-598A-406E-8AA9-5650CBABD37A}"/>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95" name="Text Box 18">
          <a:extLst>
            <a:ext uri="{FF2B5EF4-FFF2-40B4-BE49-F238E27FC236}">
              <a16:creationId xmlns:a16="http://schemas.microsoft.com/office/drawing/2014/main" id="{EE2C6483-4C23-460D-B345-22C7CFD2C852}"/>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96" name="Text Box 5">
          <a:extLst>
            <a:ext uri="{FF2B5EF4-FFF2-40B4-BE49-F238E27FC236}">
              <a16:creationId xmlns:a16="http://schemas.microsoft.com/office/drawing/2014/main" id="{7532B448-06E4-4D70-AB0E-933945E860D7}"/>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97" name="Text Box 18">
          <a:extLst>
            <a:ext uri="{FF2B5EF4-FFF2-40B4-BE49-F238E27FC236}">
              <a16:creationId xmlns:a16="http://schemas.microsoft.com/office/drawing/2014/main" id="{78B93B21-859A-4DEB-A722-7E4AE9A9FC3F}"/>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98" name="Text Box 5">
          <a:extLst>
            <a:ext uri="{FF2B5EF4-FFF2-40B4-BE49-F238E27FC236}">
              <a16:creationId xmlns:a16="http://schemas.microsoft.com/office/drawing/2014/main" id="{8BAB47ED-EFCD-4CFE-B07B-3D502FB08F7D}"/>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99" name="Text Box 18">
          <a:extLst>
            <a:ext uri="{FF2B5EF4-FFF2-40B4-BE49-F238E27FC236}">
              <a16:creationId xmlns:a16="http://schemas.microsoft.com/office/drawing/2014/main" id="{871368BF-566A-4F8D-AEFF-1A47DA82482D}"/>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00" name="Text Box 5">
          <a:extLst>
            <a:ext uri="{FF2B5EF4-FFF2-40B4-BE49-F238E27FC236}">
              <a16:creationId xmlns:a16="http://schemas.microsoft.com/office/drawing/2014/main" id="{56EBFE1A-2CB7-4F08-BED8-F5B149DD7376}"/>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01" name="Text Box 10">
          <a:extLst>
            <a:ext uri="{FF2B5EF4-FFF2-40B4-BE49-F238E27FC236}">
              <a16:creationId xmlns:a16="http://schemas.microsoft.com/office/drawing/2014/main" id="{E6BF2B5E-4E7F-4597-BC63-B6743C6F0AE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02" name="Text Box 9">
          <a:extLst>
            <a:ext uri="{FF2B5EF4-FFF2-40B4-BE49-F238E27FC236}">
              <a16:creationId xmlns:a16="http://schemas.microsoft.com/office/drawing/2014/main" id="{76A74B4C-9260-4001-948D-A705C85AB040}"/>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03" name="Text Box 5">
          <a:extLst>
            <a:ext uri="{FF2B5EF4-FFF2-40B4-BE49-F238E27FC236}">
              <a16:creationId xmlns:a16="http://schemas.microsoft.com/office/drawing/2014/main" id="{8C961357-3328-445D-9B99-4AF786485F97}"/>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04" name="Text Box 18">
          <a:extLst>
            <a:ext uri="{FF2B5EF4-FFF2-40B4-BE49-F238E27FC236}">
              <a16:creationId xmlns:a16="http://schemas.microsoft.com/office/drawing/2014/main" id="{0039DCB1-B527-4712-9AD5-A248FAC44202}"/>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05" name="Text Box 5">
          <a:extLst>
            <a:ext uri="{FF2B5EF4-FFF2-40B4-BE49-F238E27FC236}">
              <a16:creationId xmlns:a16="http://schemas.microsoft.com/office/drawing/2014/main" id="{1CE0D62D-E071-491D-88E0-3FDBFF79896A}"/>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923925</xdr:colOff>
      <xdr:row>0</xdr:row>
      <xdr:rowOff>66675</xdr:rowOff>
    </xdr:from>
    <xdr:to>
      <xdr:col>5</xdr:col>
      <xdr:colOff>685800</xdr:colOff>
      <xdr:row>0</xdr:row>
      <xdr:rowOff>742950</xdr:rowOff>
    </xdr:to>
    <xdr:pic>
      <xdr:nvPicPr>
        <xdr:cNvPr id="106" name="Picture 107">
          <a:extLst>
            <a:ext uri="{FF2B5EF4-FFF2-40B4-BE49-F238E27FC236}">
              <a16:creationId xmlns:a16="http://schemas.microsoft.com/office/drawing/2014/main" id="{F125F0FF-AAC0-4663-A08A-01228F5A64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66675"/>
          <a:ext cx="48482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104775</xdr:rowOff>
    </xdr:from>
    <xdr:to>
      <xdr:col>1</xdr:col>
      <xdr:colOff>914400</xdr:colOff>
      <xdr:row>0</xdr:row>
      <xdr:rowOff>676275</xdr:rowOff>
    </xdr:to>
    <xdr:pic>
      <xdr:nvPicPr>
        <xdr:cNvPr id="107" name="Picture 81">
          <a:extLst>
            <a:ext uri="{FF2B5EF4-FFF2-40B4-BE49-F238E27FC236}">
              <a16:creationId xmlns:a16="http://schemas.microsoft.com/office/drawing/2014/main" id="{974F646E-A72A-43C3-A1CD-84EBD80E1EE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4775"/>
          <a:ext cx="1352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56</xdr:row>
      <xdr:rowOff>0</xdr:rowOff>
    </xdr:from>
    <xdr:to>
      <xdr:col>5</xdr:col>
      <xdr:colOff>981075</xdr:colOff>
      <xdr:row>56</xdr:row>
      <xdr:rowOff>9525</xdr:rowOff>
    </xdr:to>
    <xdr:cxnSp macro="">
      <xdr:nvCxnSpPr>
        <xdr:cNvPr id="2" name="Straight Connector 24">
          <a:extLst>
            <a:ext uri="{FF2B5EF4-FFF2-40B4-BE49-F238E27FC236}">
              <a16:creationId xmlns:a16="http://schemas.microsoft.com/office/drawing/2014/main" id="{AC37B446-A6D9-453C-AB0B-2981987EDA9C}"/>
            </a:ext>
          </a:extLst>
        </xdr:cNvPr>
        <xdr:cNvCxnSpPr>
          <a:cxnSpLocks noChangeShapeType="1"/>
        </xdr:cNvCxnSpPr>
      </xdr:nvCxnSpPr>
      <xdr:spPr bwMode="auto">
        <a:xfrm>
          <a:off x="28575" y="9296400"/>
          <a:ext cx="6229350" cy="9525"/>
        </a:xfrm>
        <a:prstGeom prst="line">
          <a:avLst/>
        </a:prstGeom>
        <a:noFill/>
        <a:ln w="15875" algn="ctr">
          <a:solidFill>
            <a:srgbClr val="C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123825</xdr:colOff>
      <xdr:row>26</xdr:row>
      <xdr:rowOff>0</xdr:rowOff>
    </xdr:from>
    <xdr:to>
      <xdr:col>5</xdr:col>
      <xdr:colOff>923925</xdr:colOff>
      <xdr:row>31</xdr:row>
      <xdr:rowOff>219075</xdr:rowOff>
    </xdr:to>
    <xdr:sp macro="" textlink="">
      <xdr:nvSpPr>
        <xdr:cNvPr id="3" name="Rectangle 25">
          <a:extLst>
            <a:ext uri="{FF2B5EF4-FFF2-40B4-BE49-F238E27FC236}">
              <a16:creationId xmlns:a16="http://schemas.microsoft.com/office/drawing/2014/main" id="{E54280FC-429A-4E4D-9994-5ECEB212D6CC}"/>
            </a:ext>
          </a:extLst>
        </xdr:cNvPr>
        <xdr:cNvSpPr>
          <a:spLocks noChangeArrowheads="1"/>
        </xdr:cNvSpPr>
      </xdr:nvSpPr>
      <xdr:spPr bwMode="auto">
        <a:xfrm>
          <a:off x="123825" y="4371975"/>
          <a:ext cx="6076950" cy="1028700"/>
        </a:xfrm>
        <a:prstGeom prst="rect">
          <a:avLst/>
        </a:prstGeom>
        <a:noFill/>
        <a:ln w="15875"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104775</xdr:colOff>
      <xdr:row>0</xdr:row>
      <xdr:rowOff>38100</xdr:rowOff>
    </xdr:from>
    <xdr:to>
      <xdr:col>1</xdr:col>
      <xdr:colOff>285750</xdr:colOff>
      <xdr:row>4</xdr:row>
      <xdr:rowOff>123825</xdr:rowOff>
    </xdr:to>
    <xdr:pic>
      <xdr:nvPicPr>
        <xdr:cNvPr id="4" name="Picture 170">
          <a:extLst>
            <a:ext uri="{FF2B5EF4-FFF2-40B4-BE49-F238E27FC236}">
              <a16:creationId xmlns:a16="http://schemas.microsoft.com/office/drawing/2014/main" id="{F69552FB-8CBC-45B3-9955-A30675179E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38100"/>
          <a:ext cx="6953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5</xdr:col>
      <xdr:colOff>1009650</xdr:colOff>
      <xdr:row>5</xdr:row>
      <xdr:rowOff>0</xdr:rowOff>
    </xdr:to>
    <xdr:cxnSp macro="">
      <xdr:nvCxnSpPr>
        <xdr:cNvPr id="5" name="Straight Connector 22">
          <a:extLst>
            <a:ext uri="{FF2B5EF4-FFF2-40B4-BE49-F238E27FC236}">
              <a16:creationId xmlns:a16="http://schemas.microsoft.com/office/drawing/2014/main" id="{4373402F-2365-4FB3-A125-4623E4C94C07}"/>
            </a:ext>
          </a:extLst>
        </xdr:cNvPr>
        <xdr:cNvCxnSpPr>
          <a:cxnSpLocks noChangeShapeType="1"/>
        </xdr:cNvCxnSpPr>
      </xdr:nvCxnSpPr>
      <xdr:spPr bwMode="auto">
        <a:xfrm>
          <a:off x="0" y="809625"/>
          <a:ext cx="6286500" cy="0"/>
        </a:xfrm>
        <a:prstGeom prst="line">
          <a:avLst/>
        </a:prstGeom>
        <a:noFill/>
        <a:ln w="15875" algn="ctr">
          <a:solidFill>
            <a:srgbClr val="C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2.xml><?xml version="1.0" encoding="utf-8"?>
<xdr:wsDr xmlns:xdr="http://schemas.openxmlformats.org/drawingml/2006/spreadsheetDrawing" xmlns:a="http://schemas.openxmlformats.org/drawingml/2006/main">
  <xdr:oneCellAnchor>
    <xdr:from>
      <xdr:col>4</xdr:col>
      <xdr:colOff>0</xdr:colOff>
      <xdr:row>1</xdr:row>
      <xdr:rowOff>0</xdr:rowOff>
    </xdr:from>
    <xdr:ext cx="211121" cy="277158"/>
    <xdr:sp macro="" textlink="">
      <xdr:nvSpPr>
        <xdr:cNvPr id="2" name="TextBox 1">
          <a:extLst>
            <a:ext uri="{FF2B5EF4-FFF2-40B4-BE49-F238E27FC236}">
              <a16:creationId xmlns:a16="http://schemas.microsoft.com/office/drawing/2014/main" id="{46945F79-424A-41BB-B1EE-AD91980F6947}"/>
            </a:ext>
          </a:extLst>
        </xdr:cNvPr>
        <xdr:cNvSpPr txBox="1"/>
      </xdr:nvSpPr>
      <xdr:spPr>
        <a:xfrm>
          <a:off x="7058025" y="1619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1</xdr:row>
      <xdr:rowOff>0</xdr:rowOff>
    </xdr:from>
    <xdr:ext cx="211121" cy="277158"/>
    <xdr:sp macro="" textlink="">
      <xdr:nvSpPr>
        <xdr:cNvPr id="3" name="TextBox 2">
          <a:extLst>
            <a:ext uri="{FF2B5EF4-FFF2-40B4-BE49-F238E27FC236}">
              <a16:creationId xmlns:a16="http://schemas.microsoft.com/office/drawing/2014/main" id="{15DF56F0-D55F-4758-ACE5-C99906EF6773}"/>
            </a:ext>
          </a:extLst>
        </xdr:cNvPr>
        <xdr:cNvSpPr txBox="1"/>
      </xdr:nvSpPr>
      <xdr:spPr>
        <a:xfrm>
          <a:off x="7058025" y="1619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1</xdr:row>
      <xdr:rowOff>0</xdr:rowOff>
    </xdr:from>
    <xdr:ext cx="211121" cy="277158"/>
    <xdr:sp macro="" textlink="">
      <xdr:nvSpPr>
        <xdr:cNvPr id="4" name="TextBox 3">
          <a:extLst>
            <a:ext uri="{FF2B5EF4-FFF2-40B4-BE49-F238E27FC236}">
              <a16:creationId xmlns:a16="http://schemas.microsoft.com/office/drawing/2014/main" id="{610E64C2-AA56-4B2A-B378-D4D6AF7C9CAB}"/>
            </a:ext>
          </a:extLst>
        </xdr:cNvPr>
        <xdr:cNvSpPr txBox="1"/>
      </xdr:nvSpPr>
      <xdr:spPr>
        <a:xfrm>
          <a:off x="7058025" y="1619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1</xdr:row>
      <xdr:rowOff>0</xdr:rowOff>
    </xdr:from>
    <xdr:ext cx="211121" cy="277158"/>
    <xdr:sp macro="" textlink="">
      <xdr:nvSpPr>
        <xdr:cNvPr id="5" name="TextBox 4">
          <a:extLst>
            <a:ext uri="{FF2B5EF4-FFF2-40B4-BE49-F238E27FC236}">
              <a16:creationId xmlns:a16="http://schemas.microsoft.com/office/drawing/2014/main" id="{BD78436A-0F9E-4689-B91A-742B9B2955BD}"/>
            </a:ext>
          </a:extLst>
        </xdr:cNvPr>
        <xdr:cNvSpPr txBox="1"/>
      </xdr:nvSpPr>
      <xdr:spPr>
        <a:xfrm>
          <a:off x="7058025" y="1619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30</xdr:row>
      <xdr:rowOff>0</xdr:rowOff>
    </xdr:from>
    <xdr:ext cx="211121" cy="277158"/>
    <xdr:sp macro="" textlink="">
      <xdr:nvSpPr>
        <xdr:cNvPr id="6" name="TextBox 9">
          <a:extLst>
            <a:ext uri="{FF2B5EF4-FFF2-40B4-BE49-F238E27FC236}">
              <a16:creationId xmlns:a16="http://schemas.microsoft.com/office/drawing/2014/main" id="{0B80A2EC-9662-4545-A197-4F61CDAB2668}"/>
            </a:ext>
          </a:extLst>
        </xdr:cNvPr>
        <xdr:cNvSpPr txBox="1"/>
      </xdr:nvSpPr>
      <xdr:spPr>
        <a:xfrm>
          <a:off x="7058025" y="3865245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30</xdr:row>
      <xdr:rowOff>0</xdr:rowOff>
    </xdr:from>
    <xdr:ext cx="211121" cy="277158"/>
    <xdr:sp macro="" textlink="">
      <xdr:nvSpPr>
        <xdr:cNvPr id="7" name="TextBox 10">
          <a:extLst>
            <a:ext uri="{FF2B5EF4-FFF2-40B4-BE49-F238E27FC236}">
              <a16:creationId xmlns:a16="http://schemas.microsoft.com/office/drawing/2014/main" id="{E839D414-B6B9-45ED-97D3-F63B06F5E5F7}"/>
            </a:ext>
          </a:extLst>
        </xdr:cNvPr>
        <xdr:cNvSpPr txBox="1"/>
      </xdr:nvSpPr>
      <xdr:spPr>
        <a:xfrm>
          <a:off x="7058025" y="3865245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30</xdr:row>
      <xdr:rowOff>0</xdr:rowOff>
    </xdr:from>
    <xdr:ext cx="211121" cy="277158"/>
    <xdr:sp macro="" textlink="">
      <xdr:nvSpPr>
        <xdr:cNvPr id="8" name="TextBox 11">
          <a:extLst>
            <a:ext uri="{FF2B5EF4-FFF2-40B4-BE49-F238E27FC236}">
              <a16:creationId xmlns:a16="http://schemas.microsoft.com/office/drawing/2014/main" id="{6DBC955A-5B8C-4BD8-9512-DA3A15FD4ADE}"/>
            </a:ext>
          </a:extLst>
        </xdr:cNvPr>
        <xdr:cNvSpPr txBox="1"/>
      </xdr:nvSpPr>
      <xdr:spPr>
        <a:xfrm>
          <a:off x="7058025" y="3865245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30</xdr:row>
      <xdr:rowOff>0</xdr:rowOff>
    </xdr:from>
    <xdr:ext cx="211121" cy="277158"/>
    <xdr:sp macro="" textlink="">
      <xdr:nvSpPr>
        <xdr:cNvPr id="9" name="TextBox 12">
          <a:extLst>
            <a:ext uri="{FF2B5EF4-FFF2-40B4-BE49-F238E27FC236}">
              <a16:creationId xmlns:a16="http://schemas.microsoft.com/office/drawing/2014/main" id="{7172B34A-EE7A-4D56-855C-5A3796B62892}"/>
            </a:ext>
          </a:extLst>
        </xdr:cNvPr>
        <xdr:cNvSpPr txBox="1"/>
      </xdr:nvSpPr>
      <xdr:spPr>
        <a:xfrm>
          <a:off x="7058025" y="3865245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0" name="TextBox 13">
          <a:extLst>
            <a:ext uri="{FF2B5EF4-FFF2-40B4-BE49-F238E27FC236}">
              <a16:creationId xmlns:a16="http://schemas.microsoft.com/office/drawing/2014/main" id="{B9060D0E-D0ED-48B5-9D49-95C69BDF02C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1" name="TextBox 14">
          <a:extLst>
            <a:ext uri="{FF2B5EF4-FFF2-40B4-BE49-F238E27FC236}">
              <a16:creationId xmlns:a16="http://schemas.microsoft.com/office/drawing/2014/main" id="{F9A0EBA8-6F67-4EC8-85A2-47309D9978A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2" name="TextBox 15">
          <a:extLst>
            <a:ext uri="{FF2B5EF4-FFF2-40B4-BE49-F238E27FC236}">
              <a16:creationId xmlns:a16="http://schemas.microsoft.com/office/drawing/2014/main" id="{032CA11A-F9EC-4CC9-90BE-8CFC903A019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3" name="TextBox 16">
          <a:extLst>
            <a:ext uri="{FF2B5EF4-FFF2-40B4-BE49-F238E27FC236}">
              <a16:creationId xmlns:a16="http://schemas.microsoft.com/office/drawing/2014/main" id="{55343853-5D25-418F-AD41-6C090A86874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4" name="TextBox 21">
          <a:extLst>
            <a:ext uri="{FF2B5EF4-FFF2-40B4-BE49-F238E27FC236}">
              <a16:creationId xmlns:a16="http://schemas.microsoft.com/office/drawing/2014/main" id="{D475E0FE-4A14-4CD6-8647-B33EE9C8E75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5" name="TextBox 22">
          <a:extLst>
            <a:ext uri="{FF2B5EF4-FFF2-40B4-BE49-F238E27FC236}">
              <a16:creationId xmlns:a16="http://schemas.microsoft.com/office/drawing/2014/main" id="{BCC185B2-4CF9-4433-8623-518BF234C204}"/>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6" name="TextBox 23">
          <a:extLst>
            <a:ext uri="{FF2B5EF4-FFF2-40B4-BE49-F238E27FC236}">
              <a16:creationId xmlns:a16="http://schemas.microsoft.com/office/drawing/2014/main" id="{E07EFB48-4557-4FE2-A20C-8173A61D96F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7" name="TextBox 24">
          <a:extLst>
            <a:ext uri="{FF2B5EF4-FFF2-40B4-BE49-F238E27FC236}">
              <a16:creationId xmlns:a16="http://schemas.microsoft.com/office/drawing/2014/main" id="{587D9A88-711A-450E-AFC1-26F3601BAA9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8" name="TextBox 29">
          <a:extLst>
            <a:ext uri="{FF2B5EF4-FFF2-40B4-BE49-F238E27FC236}">
              <a16:creationId xmlns:a16="http://schemas.microsoft.com/office/drawing/2014/main" id="{11519016-034D-4086-A775-D4AC12791BA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9" name="TextBox 30">
          <a:extLst>
            <a:ext uri="{FF2B5EF4-FFF2-40B4-BE49-F238E27FC236}">
              <a16:creationId xmlns:a16="http://schemas.microsoft.com/office/drawing/2014/main" id="{E14CA63C-1763-4C59-8874-F3B98A50F6B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0" name="TextBox 31">
          <a:extLst>
            <a:ext uri="{FF2B5EF4-FFF2-40B4-BE49-F238E27FC236}">
              <a16:creationId xmlns:a16="http://schemas.microsoft.com/office/drawing/2014/main" id="{BA51C1B9-CC06-40CE-8226-48AF13B2D56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1" name="TextBox 32">
          <a:extLst>
            <a:ext uri="{FF2B5EF4-FFF2-40B4-BE49-F238E27FC236}">
              <a16:creationId xmlns:a16="http://schemas.microsoft.com/office/drawing/2014/main" id="{8D8700CA-DE2D-487E-8453-3F7450B76CF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2" name="TextBox 21">
          <a:extLst>
            <a:ext uri="{FF2B5EF4-FFF2-40B4-BE49-F238E27FC236}">
              <a16:creationId xmlns:a16="http://schemas.microsoft.com/office/drawing/2014/main" id="{FA7761BA-92D1-460E-97DB-FD405336B9CD}"/>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3" name="TextBox 22">
          <a:extLst>
            <a:ext uri="{FF2B5EF4-FFF2-40B4-BE49-F238E27FC236}">
              <a16:creationId xmlns:a16="http://schemas.microsoft.com/office/drawing/2014/main" id="{7763CEA5-213F-413A-BF20-9672C4D02A2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4" name="TextBox 23">
          <a:extLst>
            <a:ext uri="{FF2B5EF4-FFF2-40B4-BE49-F238E27FC236}">
              <a16:creationId xmlns:a16="http://schemas.microsoft.com/office/drawing/2014/main" id="{20AC3003-7E25-491B-826A-5121F72F0D2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5" name="TextBox 24">
          <a:extLst>
            <a:ext uri="{FF2B5EF4-FFF2-40B4-BE49-F238E27FC236}">
              <a16:creationId xmlns:a16="http://schemas.microsoft.com/office/drawing/2014/main" id="{3D1B5E4E-C007-42EF-82EA-9333CA5665B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6" name="TextBox 29">
          <a:extLst>
            <a:ext uri="{FF2B5EF4-FFF2-40B4-BE49-F238E27FC236}">
              <a16:creationId xmlns:a16="http://schemas.microsoft.com/office/drawing/2014/main" id="{84B34ACC-8214-4425-BE6E-06E898FCA0C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7" name="TextBox 30">
          <a:extLst>
            <a:ext uri="{FF2B5EF4-FFF2-40B4-BE49-F238E27FC236}">
              <a16:creationId xmlns:a16="http://schemas.microsoft.com/office/drawing/2014/main" id="{E3682638-C7EA-4B32-8C99-692CC8FEB6F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8" name="TextBox 31">
          <a:extLst>
            <a:ext uri="{FF2B5EF4-FFF2-40B4-BE49-F238E27FC236}">
              <a16:creationId xmlns:a16="http://schemas.microsoft.com/office/drawing/2014/main" id="{D450D8B6-19F4-441A-B3EF-CBEDE0A6A05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9" name="TextBox 32">
          <a:extLst>
            <a:ext uri="{FF2B5EF4-FFF2-40B4-BE49-F238E27FC236}">
              <a16:creationId xmlns:a16="http://schemas.microsoft.com/office/drawing/2014/main" id="{3267738A-7FA1-4ED9-B57D-D208830603B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7</xdr:row>
      <xdr:rowOff>0</xdr:rowOff>
    </xdr:from>
    <xdr:ext cx="211121" cy="277158"/>
    <xdr:sp macro="" textlink="">
      <xdr:nvSpPr>
        <xdr:cNvPr id="30" name="TextBox 1">
          <a:extLst>
            <a:ext uri="{FF2B5EF4-FFF2-40B4-BE49-F238E27FC236}">
              <a16:creationId xmlns:a16="http://schemas.microsoft.com/office/drawing/2014/main" id="{D03D1A4C-5211-411F-B21C-96AA1D52AE6A}"/>
            </a:ext>
          </a:extLst>
        </xdr:cNvPr>
        <xdr:cNvSpPr txBox="1"/>
      </xdr:nvSpPr>
      <xdr:spPr>
        <a:xfrm>
          <a:off x="7058025" y="56673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7</xdr:row>
      <xdr:rowOff>0</xdr:rowOff>
    </xdr:from>
    <xdr:ext cx="211121" cy="277158"/>
    <xdr:sp macro="" textlink="">
      <xdr:nvSpPr>
        <xdr:cNvPr id="31" name="TextBox 2">
          <a:extLst>
            <a:ext uri="{FF2B5EF4-FFF2-40B4-BE49-F238E27FC236}">
              <a16:creationId xmlns:a16="http://schemas.microsoft.com/office/drawing/2014/main" id="{4563E390-0BD2-4AE0-932B-D9C88FEE3938}"/>
            </a:ext>
          </a:extLst>
        </xdr:cNvPr>
        <xdr:cNvSpPr txBox="1"/>
      </xdr:nvSpPr>
      <xdr:spPr>
        <a:xfrm>
          <a:off x="7058025" y="56673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7</xdr:row>
      <xdr:rowOff>0</xdr:rowOff>
    </xdr:from>
    <xdr:ext cx="211121" cy="277158"/>
    <xdr:sp macro="" textlink="">
      <xdr:nvSpPr>
        <xdr:cNvPr id="32" name="TextBox 3">
          <a:extLst>
            <a:ext uri="{FF2B5EF4-FFF2-40B4-BE49-F238E27FC236}">
              <a16:creationId xmlns:a16="http://schemas.microsoft.com/office/drawing/2014/main" id="{910BC5B9-F49C-4337-B21A-489A24FA406C}"/>
            </a:ext>
          </a:extLst>
        </xdr:cNvPr>
        <xdr:cNvSpPr txBox="1"/>
      </xdr:nvSpPr>
      <xdr:spPr>
        <a:xfrm>
          <a:off x="7058025" y="56673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7</xdr:row>
      <xdr:rowOff>0</xdr:rowOff>
    </xdr:from>
    <xdr:ext cx="211121" cy="277158"/>
    <xdr:sp macro="" textlink="">
      <xdr:nvSpPr>
        <xdr:cNvPr id="33" name="TextBox 4">
          <a:extLst>
            <a:ext uri="{FF2B5EF4-FFF2-40B4-BE49-F238E27FC236}">
              <a16:creationId xmlns:a16="http://schemas.microsoft.com/office/drawing/2014/main" id="{77D17593-FC8A-4A0B-A318-6A2742661000}"/>
            </a:ext>
          </a:extLst>
        </xdr:cNvPr>
        <xdr:cNvSpPr txBox="1"/>
      </xdr:nvSpPr>
      <xdr:spPr>
        <a:xfrm>
          <a:off x="7058025" y="56673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34" name="TextBox 9">
          <a:extLst>
            <a:ext uri="{FF2B5EF4-FFF2-40B4-BE49-F238E27FC236}">
              <a16:creationId xmlns:a16="http://schemas.microsoft.com/office/drawing/2014/main" id="{6B1C3927-9275-4D19-9A6E-429257C0FFFD}"/>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35" name="TextBox 10">
          <a:extLst>
            <a:ext uri="{FF2B5EF4-FFF2-40B4-BE49-F238E27FC236}">
              <a16:creationId xmlns:a16="http://schemas.microsoft.com/office/drawing/2014/main" id="{F756A042-A621-4E97-B0A4-479D134ABCD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36" name="TextBox 11">
          <a:extLst>
            <a:ext uri="{FF2B5EF4-FFF2-40B4-BE49-F238E27FC236}">
              <a16:creationId xmlns:a16="http://schemas.microsoft.com/office/drawing/2014/main" id="{D741054B-333F-4CBE-9E38-ED9332B6F4E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37" name="TextBox 12">
          <a:extLst>
            <a:ext uri="{FF2B5EF4-FFF2-40B4-BE49-F238E27FC236}">
              <a16:creationId xmlns:a16="http://schemas.microsoft.com/office/drawing/2014/main" id="{4522964A-31AF-46EC-B385-45C8316A3EB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38" name="TextBox 9">
          <a:extLst>
            <a:ext uri="{FF2B5EF4-FFF2-40B4-BE49-F238E27FC236}">
              <a16:creationId xmlns:a16="http://schemas.microsoft.com/office/drawing/2014/main" id="{855A6ADD-5CA1-4F58-A45B-1ED954009EB9}"/>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39" name="TextBox 10">
          <a:extLst>
            <a:ext uri="{FF2B5EF4-FFF2-40B4-BE49-F238E27FC236}">
              <a16:creationId xmlns:a16="http://schemas.microsoft.com/office/drawing/2014/main" id="{C7E88AB3-E9C4-49EE-8D95-D741BAAE2BA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0" name="TextBox 11">
          <a:extLst>
            <a:ext uri="{FF2B5EF4-FFF2-40B4-BE49-F238E27FC236}">
              <a16:creationId xmlns:a16="http://schemas.microsoft.com/office/drawing/2014/main" id="{62BDD424-93E5-4FFB-BF1A-0248AD280C4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1" name="TextBox 12">
          <a:extLst>
            <a:ext uri="{FF2B5EF4-FFF2-40B4-BE49-F238E27FC236}">
              <a16:creationId xmlns:a16="http://schemas.microsoft.com/office/drawing/2014/main" id="{D3D17F6F-5C70-43D8-9987-46706150F98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2" name="TextBox 9">
          <a:extLst>
            <a:ext uri="{FF2B5EF4-FFF2-40B4-BE49-F238E27FC236}">
              <a16:creationId xmlns:a16="http://schemas.microsoft.com/office/drawing/2014/main" id="{9E48C60B-CA55-48D3-AC54-F1A0AFEE9A2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3" name="TextBox 10">
          <a:extLst>
            <a:ext uri="{FF2B5EF4-FFF2-40B4-BE49-F238E27FC236}">
              <a16:creationId xmlns:a16="http://schemas.microsoft.com/office/drawing/2014/main" id="{CE07A138-925A-43A8-B9C7-E8DDF79098D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4" name="TextBox 11">
          <a:extLst>
            <a:ext uri="{FF2B5EF4-FFF2-40B4-BE49-F238E27FC236}">
              <a16:creationId xmlns:a16="http://schemas.microsoft.com/office/drawing/2014/main" id="{5BFF9C9D-C603-4E83-9D99-A42FFE3231C9}"/>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5" name="TextBox 12">
          <a:extLst>
            <a:ext uri="{FF2B5EF4-FFF2-40B4-BE49-F238E27FC236}">
              <a16:creationId xmlns:a16="http://schemas.microsoft.com/office/drawing/2014/main" id="{EB042947-A2FD-4644-A146-A3D38C86795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6" name="TextBox 9">
          <a:extLst>
            <a:ext uri="{FF2B5EF4-FFF2-40B4-BE49-F238E27FC236}">
              <a16:creationId xmlns:a16="http://schemas.microsoft.com/office/drawing/2014/main" id="{F5E58164-C914-40BF-B26F-C57A064CF59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7" name="TextBox 10">
          <a:extLst>
            <a:ext uri="{FF2B5EF4-FFF2-40B4-BE49-F238E27FC236}">
              <a16:creationId xmlns:a16="http://schemas.microsoft.com/office/drawing/2014/main" id="{4C678333-45FE-4E37-9D80-BCC7A9A82CA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8" name="TextBox 11">
          <a:extLst>
            <a:ext uri="{FF2B5EF4-FFF2-40B4-BE49-F238E27FC236}">
              <a16:creationId xmlns:a16="http://schemas.microsoft.com/office/drawing/2014/main" id="{6961F14A-1077-400A-8D76-9031845866E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9" name="TextBox 12">
          <a:extLst>
            <a:ext uri="{FF2B5EF4-FFF2-40B4-BE49-F238E27FC236}">
              <a16:creationId xmlns:a16="http://schemas.microsoft.com/office/drawing/2014/main" id="{D53BEC9B-B263-424D-8313-2F205118C68D}"/>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50" name="TextBox 9">
          <a:extLst>
            <a:ext uri="{FF2B5EF4-FFF2-40B4-BE49-F238E27FC236}">
              <a16:creationId xmlns:a16="http://schemas.microsoft.com/office/drawing/2014/main" id="{0B1DD4C9-DCA1-43BA-A63D-E88BD7FB368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51" name="TextBox 10">
          <a:extLst>
            <a:ext uri="{FF2B5EF4-FFF2-40B4-BE49-F238E27FC236}">
              <a16:creationId xmlns:a16="http://schemas.microsoft.com/office/drawing/2014/main" id="{35F3C7D0-6D75-47C7-87A7-845B4054221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52" name="TextBox 11">
          <a:extLst>
            <a:ext uri="{FF2B5EF4-FFF2-40B4-BE49-F238E27FC236}">
              <a16:creationId xmlns:a16="http://schemas.microsoft.com/office/drawing/2014/main" id="{EAC66E20-3957-4C96-BA85-20CAE3B5279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53" name="TextBox 12">
          <a:extLst>
            <a:ext uri="{FF2B5EF4-FFF2-40B4-BE49-F238E27FC236}">
              <a16:creationId xmlns:a16="http://schemas.microsoft.com/office/drawing/2014/main" id="{530571D0-30A2-4805-9FAC-8BFD37BB2B3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54" name="TextBox 9">
          <a:extLst>
            <a:ext uri="{FF2B5EF4-FFF2-40B4-BE49-F238E27FC236}">
              <a16:creationId xmlns:a16="http://schemas.microsoft.com/office/drawing/2014/main" id="{4983DAF1-4D86-4544-B69D-18E83A97082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55" name="TextBox 10">
          <a:extLst>
            <a:ext uri="{FF2B5EF4-FFF2-40B4-BE49-F238E27FC236}">
              <a16:creationId xmlns:a16="http://schemas.microsoft.com/office/drawing/2014/main" id="{B9095FBD-75B4-4089-8374-1CB1F411E56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56" name="TextBox 11">
          <a:extLst>
            <a:ext uri="{FF2B5EF4-FFF2-40B4-BE49-F238E27FC236}">
              <a16:creationId xmlns:a16="http://schemas.microsoft.com/office/drawing/2014/main" id="{803A93C3-CE18-4B86-AB4D-6B6C96BE43E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57" name="TextBox 12">
          <a:extLst>
            <a:ext uri="{FF2B5EF4-FFF2-40B4-BE49-F238E27FC236}">
              <a16:creationId xmlns:a16="http://schemas.microsoft.com/office/drawing/2014/main" id="{EBFB817C-37BD-47F6-ADDD-530D208B2A89}"/>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58" name="TextBox 9">
          <a:extLst>
            <a:ext uri="{FF2B5EF4-FFF2-40B4-BE49-F238E27FC236}">
              <a16:creationId xmlns:a16="http://schemas.microsoft.com/office/drawing/2014/main" id="{FFE19689-3A21-4A1E-BEDC-111DC116A6A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59" name="TextBox 10">
          <a:extLst>
            <a:ext uri="{FF2B5EF4-FFF2-40B4-BE49-F238E27FC236}">
              <a16:creationId xmlns:a16="http://schemas.microsoft.com/office/drawing/2014/main" id="{D794ED90-4488-4991-94E3-C90094BA80D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60" name="TextBox 11">
          <a:extLst>
            <a:ext uri="{FF2B5EF4-FFF2-40B4-BE49-F238E27FC236}">
              <a16:creationId xmlns:a16="http://schemas.microsoft.com/office/drawing/2014/main" id="{6656E70C-54DC-46A9-80F7-4F40AEBC08C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61" name="TextBox 12">
          <a:extLst>
            <a:ext uri="{FF2B5EF4-FFF2-40B4-BE49-F238E27FC236}">
              <a16:creationId xmlns:a16="http://schemas.microsoft.com/office/drawing/2014/main" id="{ECB8B3BB-A6AE-4BC3-9B1B-47E943CA15B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62" name="TextBox 9">
          <a:extLst>
            <a:ext uri="{FF2B5EF4-FFF2-40B4-BE49-F238E27FC236}">
              <a16:creationId xmlns:a16="http://schemas.microsoft.com/office/drawing/2014/main" id="{5CD99C22-DAB5-457E-B646-58B56334BD0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63" name="TextBox 10">
          <a:extLst>
            <a:ext uri="{FF2B5EF4-FFF2-40B4-BE49-F238E27FC236}">
              <a16:creationId xmlns:a16="http://schemas.microsoft.com/office/drawing/2014/main" id="{48083439-060A-4FE9-B918-D9334F17F94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64" name="TextBox 11">
          <a:extLst>
            <a:ext uri="{FF2B5EF4-FFF2-40B4-BE49-F238E27FC236}">
              <a16:creationId xmlns:a16="http://schemas.microsoft.com/office/drawing/2014/main" id="{C8B0E034-FB61-440F-AE2A-67AD25B9B3D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65" name="TextBox 12">
          <a:extLst>
            <a:ext uri="{FF2B5EF4-FFF2-40B4-BE49-F238E27FC236}">
              <a16:creationId xmlns:a16="http://schemas.microsoft.com/office/drawing/2014/main" id="{B754C725-5C4F-4F14-8EA6-8D0BF16A092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66" name="TextBox 9">
          <a:extLst>
            <a:ext uri="{FF2B5EF4-FFF2-40B4-BE49-F238E27FC236}">
              <a16:creationId xmlns:a16="http://schemas.microsoft.com/office/drawing/2014/main" id="{32765B77-CFE0-469F-AD86-D8C8F122D38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67" name="TextBox 10">
          <a:extLst>
            <a:ext uri="{FF2B5EF4-FFF2-40B4-BE49-F238E27FC236}">
              <a16:creationId xmlns:a16="http://schemas.microsoft.com/office/drawing/2014/main" id="{3C6679DD-8955-42E5-B378-4F8AC2ABB26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68" name="TextBox 11">
          <a:extLst>
            <a:ext uri="{FF2B5EF4-FFF2-40B4-BE49-F238E27FC236}">
              <a16:creationId xmlns:a16="http://schemas.microsoft.com/office/drawing/2014/main" id="{E1C99038-BFDC-4070-8E9A-86422C51C5D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69" name="TextBox 12">
          <a:extLst>
            <a:ext uri="{FF2B5EF4-FFF2-40B4-BE49-F238E27FC236}">
              <a16:creationId xmlns:a16="http://schemas.microsoft.com/office/drawing/2014/main" id="{31384F58-CA61-40A2-8952-383CD935856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70" name="TextBox 13">
          <a:extLst>
            <a:ext uri="{FF2B5EF4-FFF2-40B4-BE49-F238E27FC236}">
              <a16:creationId xmlns:a16="http://schemas.microsoft.com/office/drawing/2014/main" id="{F57D3F7E-8763-45D8-88FB-500B02D18AD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71" name="TextBox 14">
          <a:extLst>
            <a:ext uri="{FF2B5EF4-FFF2-40B4-BE49-F238E27FC236}">
              <a16:creationId xmlns:a16="http://schemas.microsoft.com/office/drawing/2014/main" id="{FF6A843A-170F-4863-AB8A-B31AEA9629E4}"/>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72" name="TextBox 15">
          <a:extLst>
            <a:ext uri="{FF2B5EF4-FFF2-40B4-BE49-F238E27FC236}">
              <a16:creationId xmlns:a16="http://schemas.microsoft.com/office/drawing/2014/main" id="{4977DB3D-BC62-489C-A403-30A96801B0A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73" name="TextBox 16">
          <a:extLst>
            <a:ext uri="{FF2B5EF4-FFF2-40B4-BE49-F238E27FC236}">
              <a16:creationId xmlns:a16="http://schemas.microsoft.com/office/drawing/2014/main" id="{A876857E-11A2-424F-AF86-2B2C21AA613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74" name="TextBox 21">
          <a:extLst>
            <a:ext uri="{FF2B5EF4-FFF2-40B4-BE49-F238E27FC236}">
              <a16:creationId xmlns:a16="http://schemas.microsoft.com/office/drawing/2014/main" id="{5D5A1382-C611-444B-9B9C-03B5675E647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75" name="TextBox 22">
          <a:extLst>
            <a:ext uri="{FF2B5EF4-FFF2-40B4-BE49-F238E27FC236}">
              <a16:creationId xmlns:a16="http://schemas.microsoft.com/office/drawing/2014/main" id="{76B64729-7A2F-4E52-B41A-B0059426579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76" name="TextBox 23">
          <a:extLst>
            <a:ext uri="{FF2B5EF4-FFF2-40B4-BE49-F238E27FC236}">
              <a16:creationId xmlns:a16="http://schemas.microsoft.com/office/drawing/2014/main" id="{7C58CBD4-8695-456E-8B48-BB6B289E2FD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77" name="TextBox 24">
          <a:extLst>
            <a:ext uri="{FF2B5EF4-FFF2-40B4-BE49-F238E27FC236}">
              <a16:creationId xmlns:a16="http://schemas.microsoft.com/office/drawing/2014/main" id="{35C15285-D404-4C2D-9F7F-50FE60E6F89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78" name="TextBox 29">
          <a:extLst>
            <a:ext uri="{FF2B5EF4-FFF2-40B4-BE49-F238E27FC236}">
              <a16:creationId xmlns:a16="http://schemas.microsoft.com/office/drawing/2014/main" id="{B0D0C486-C397-477B-987E-20E974D32FA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79" name="TextBox 30">
          <a:extLst>
            <a:ext uri="{FF2B5EF4-FFF2-40B4-BE49-F238E27FC236}">
              <a16:creationId xmlns:a16="http://schemas.microsoft.com/office/drawing/2014/main" id="{EFBB43C5-DC6B-40B6-91E3-B1A835D1991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80" name="TextBox 31">
          <a:extLst>
            <a:ext uri="{FF2B5EF4-FFF2-40B4-BE49-F238E27FC236}">
              <a16:creationId xmlns:a16="http://schemas.microsoft.com/office/drawing/2014/main" id="{CE746D2B-333C-4E98-940B-9EBFE382BD3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81" name="TextBox 32">
          <a:extLst>
            <a:ext uri="{FF2B5EF4-FFF2-40B4-BE49-F238E27FC236}">
              <a16:creationId xmlns:a16="http://schemas.microsoft.com/office/drawing/2014/main" id="{B8E286F3-779D-4D0D-9ED0-4E99020FA79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82" name="TextBox 21">
          <a:extLst>
            <a:ext uri="{FF2B5EF4-FFF2-40B4-BE49-F238E27FC236}">
              <a16:creationId xmlns:a16="http://schemas.microsoft.com/office/drawing/2014/main" id="{36B39745-BE93-4315-9EF2-FDFA694DC7F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83" name="TextBox 22">
          <a:extLst>
            <a:ext uri="{FF2B5EF4-FFF2-40B4-BE49-F238E27FC236}">
              <a16:creationId xmlns:a16="http://schemas.microsoft.com/office/drawing/2014/main" id="{5A84A79D-0A23-4EC7-BCC6-12C47E5D33D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84" name="TextBox 23">
          <a:extLst>
            <a:ext uri="{FF2B5EF4-FFF2-40B4-BE49-F238E27FC236}">
              <a16:creationId xmlns:a16="http://schemas.microsoft.com/office/drawing/2014/main" id="{52B0D79E-35E2-460B-B5A2-4300D72605B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85" name="TextBox 24">
          <a:extLst>
            <a:ext uri="{FF2B5EF4-FFF2-40B4-BE49-F238E27FC236}">
              <a16:creationId xmlns:a16="http://schemas.microsoft.com/office/drawing/2014/main" id="{E6E6687D-4EAC-40E9-9B02-90041A5813C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86" name="TextBox 29">
          <a:extLst>
            <a:ext uri="{FF2B5EF4-FFF2-40B4-BE49-F238E27FC236}">
              <a16:creationId xmlns:a16="http://schemas.microsoft.com/office/drawing/2014/main" id="{C31852CE-926C-4D82-958A-FA8AE7C44F0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87" name="TextBox 30">
          <a:extLst>
            <a:ext uri="{FF2B5EF4-FFF2-40B4-BE49-F238E27FC236}">
              <a16:creationId xmlns:a16="http://schemas.microsoft.com/office/drawing/2014/main" id="{0D7B80E2-C627-49EC-B5EF-788D9A7D761D}"/>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88" name="TextBox 31">
          <a:extLst>
            <a:ext uri="{FF2B5EF4-FFF2-40B4-BE49-F238E27FC236}">
              <a16:creationId xmlns:a16="http://schemas.microsoft.com/office/drawing/2014/main" id="{B993AA90-1200-43CB-8220-8CA4DFF95C8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89" name="TextBox 32">
          <a:extLst>
            <a:ext uri="{FF2B5EF4-FFF2-40B4-BE49-F238E27FC236}">
              <a16:creationId xmlns:a16="http://schemas.microsoft.com/office/drawing/2014/main" id="{2E4D9F45-55E7-4FD2-9975-1D192653D75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90" name="TextBox 9">
          <a:extLst>
            <a:ext uri="{FF2B5EF4-FFF2-40B4-BE49-F238E27FC236}">
              <a16:creationId xmlns:a16="http://schemas.microsoft.com/office/drawing/2014/main" id="{9E2B9F8B-C109-43F9-836F-C077C9F2DA1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91" name="TextBox 10">
          <a:extLst>
            <a:ext uri="{FF2B5EF4-FFF2-40B4-BE49-F238E27FC236}">
              <a16:creationId xmlns:a16="http://schemas.microsoft.com/office/drawing/2014/main" id="{7D9EE7FC-DF57-43B8-931C-8A1593E9AD8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92" name="TextBox 11">
          <a:extLst>
            <a:ext uri="{FF2B5EF4-FFF2-40B4-BE49-F238E27FC236}">
              <a16:creationId xmlns:a16="http://schemas.microsoft.com/office/drawing/2014/main" id="{608BA3D6-259D-49CD-9A4B-43D98A30901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93" name="TextBox 12">
          <a:extLst>
            <a:ext uri="{FF2B5EF4-FFF2-40B4-BE49-F238E27FC236}">
              <a16:creationId xmlns:a16="http://schemas.microsoft.com/office/drawing/2014/main" id="{DD12E41F-9260-49A4-975D-02F6F33D9EB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94" name="TextBox 9">
          <a:extLst>
            <a:ext uri="{FF2B5EF4-FFF2-40B4-BE49-F238E27FC236}">
              <a16:creationId xmlns:a16="http://schemas.microsoft.com/office/drawing/2014/main" id="{D878A17C-CCA6-4E57-9F56-E0CC494019B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95" name="TextBox 10">
          <a:extLst>
            <a:ext uri="{FF2B5EF4-FFF2-40B4-BE49-F238E27FC236}">
              <a16:creationId xmlns:a16="http://schemas.microsoft.com/office/drawing/2014/main" id="{B5498B49-2193-4438-AA9D-EAE23B76801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96" name="TextBox 11">
          <a:extLst>
            <a:ext uri="{FF2B5EF4-FFF2-40B4-BE49-F238E27FC236}">
              <a16:creationId xmlns:a16="http://schemas.microsoft.com/office/drawing/2014/main" id="{9098DCEC-C399-4AAC-95D9-B86A31C9A9E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97" name="TextBox 12">
          <a:extLst>
            <a:ext uri="{FF2B5EF4-FFF2-40B4-BE49-F238E27FC236}">
              <a16:creationId xmlns:a16="http://schemas.microsoft.com/office/drawing/2014/main" id="{18BE0BC0-C4FC-48F0-921B-7E8FE00AB4D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98" name="TextBox 9">
          <a:extLst>
            <a:ext uri="{FF2B5EF4-FFF2-40B4-BE49-F238E27FC236}">
              <a16:creationId xmlns:a16="http://schemas.microsoft.com/office/drawing/2014/main" id="{214AB8F1-9506-4C77-B458-97074731BC7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99" name="TextBox 10">
          <a:extLst>
            <a:ext uri="{FF2B5EF4-FFF2-40B4-BE49-F238E27FC236}">
              <a16:creationId xmlns:a16="http://schemas.microsoft.com/office/drawing/2014/main" id="{D0AA51C8-992A-4C57-AC94-5E808BD28CF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00" name="TextBox 11">
          <a:extLst>
            <a:ext uri="{FF2B5EF4-FFF2-40B4-BE49-F238E27FC236}">
              <a16:creationId xmlns:a16="http://schemas.microsoft.com/office/drawing/2014/main" id="{EC42E2CC-3F0C-4593-AE1C-73F4CF7F0C2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01" name="TextBox 12">
          <a:extLst>
            <a:ext uri="{FF2B5EF4-FFF2-40B4-BE49-F238E27FC236}">
              <a16:creationId xmlns:a16="http://schemas.microsoft.com/office/drawing/2014/main" id="{22378E1B-1B72-43B4-AE40-5E4CE92B059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02" name="TextBox 9">
          <a:extLst>
            <a:ext uri="{FF2B5EF4-FFF2-40B4-BE49-F238E27FC236}">
              <a16:creationId xmlns:a16="http://schemas.microsoft.com/office/drawing/2014/main" id="{C54A06AC-A8B2-420D-94A9-97CDA110026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03" name="TextBox 10">
          <a:extLst>
            <a:ext uri="{FF2B5EF4-FFF2-40B4-BE49-F238E27FC236}">
              <a16:creationId xmlns:a16="http://schemas.microsoft.com/office/drawing/2014/main" id="{8EB61A4C-8707-400E-BC10-3B268908B759}"/>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04" name="TextBox 11">
          <a:extLst>
            <a:ext uri="{FF2B5EF4-FFF2-40B4-BE49-F238E27FC236}">
              <a16:creationId xmlns:a16="http://schemas.microsoft.com/office/drawing/2014/main" id="{54871FCD-F306-43BD-AEF1-77542353F9B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05" name="TextBox 12">
          <a:extLst>
            <a:ext uri="{FF2B5EF4-FFF2-40B4-BE49-F238E27FC236}">
              <a16:creationId xmlns:a16="http://schemas.microsoft.com/office/drawing/2014/main" id="{BB382070-BD24-4D82-9001-23BE5433A62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06" name="TextBox 9">
          <a:extLst>
            <a:ext uri="{FF2B5EF4-FFF2-40B4-BE49-F238E27FC236}">
              <a16:creationId xmlns:a16="http://schemas.microsoft.com/office/drawing/2014/main" id="{271863B3-3C32-4740-BC98-EBB93E29D28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07" name="TextBox 10">
          <a:extLst>
            <a:ext uri="{FF2B5EF4-FFF2-40B4-BE49-F238E27FC236}">
              <a16:creationId xmlns:a16="http://schemas.microsoft.com/office/drawing/2014/main" id="{6F2FE840-696C-46F0-8D6E-F8204ED7DF24}"/>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08" name="TextBox 11">
          <a:extLst>
            <a:ext uri="{FF2B5EF4-FFF2-40B4-BE49-F238E27FC236}">
              <a16:creationId xmlns:a16="http://schemas.microsoft.com/office/drawing/2014/main" id="{3B0507D4-922E-4FDC-A0E8-0CE4FAC184E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09" name="TextBox 12">
          <a:extLst>
            <a:ext uri="{FF2B5EF4-FFF2-40B4-BE49-F238E27FC236}">
              <a16:creationId xmlns:a16="http://schemas.microsoft.com/office/drawing/2014/main" id="{25774B03-B3DB-4E1C-B7F9-BC41E0F6F77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10" name="TextBox 9">
          <a:extLst>
            <a:ext uri="{FF2B5EF4-FFF2-40B4-BE49-F238E27FC236}">
              <a16:creationId xmlns:a16="http://schemas.microsoft.com/office/drawing/2014/main" id="{3D8594BA-E8CF-4496-AD65-306D0120170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11" name="TextBox 10">
          <a:extLst>
            <a:ext uri="{FF2B5EF4-FFF2-40B4-BE49-F238E27FC236}">
              <a16:creationId xmlns:a16="http://schemas.microsoft.com/office/drawing/2014/main" id="{3214E211-59C7-4B5B-A791-D26C1A5D70F4}"/>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12" name="TextBox 11">
          <a:extLst>
            <a:ext uri="{FF2B5EF4-FFF2-40B4-BE49-F238E27FC236}">
              <a16:creationId xmlns:a16="http://schemas.microsoft.com/office/drawing/2014/main" id="{21263CC7-EB86-48D5-9FF7-9A81A9F067C4}"/>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13" name="TextBox 12">
          <a:extLst>
            <a:ext uri="{FF2B5EF4-FFF2-40B4-BE49-F238E27FC236}">
              <a16:creationId xmlns:a16="http://schemas.microsoft.com/office/drawing/2014/main" id="{071159DB-5EF0-4061-8E6F-76FE5780A5F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14" name="TextBox 9">
          <a:extLst>
            <a:ext uri="{FF2B5EF4-FFF2-40B4-BE49-F238E27FC236}">
              <a16:creationId xmlns:a16="http://schemas.microsoft.com/office/drawing/2014/main" id="{FD3DFD98-AA89-4959-A312-D405AA9ECD3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15" name="TextBox 10">
          <a:extLst>
            <a:ext uri="{FF2B5EF4-FFF2-40B4-BE49-F238E27FC236}">
              <a16:creationId xmlns:a16="http://schemas.microsoft.com/office/drawing/2014/main" id="{BDAFB59D-4D4B-47EB-AE67-8443B11A598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16" name="TextBox 11">
          <a:extLst>
            <a:ext uri="{FF2B5EF4-FFF2-40B4-BE49-F238E27FC236}">
              <a16:creationId xmlns:a16="http://schemas.microsoft.com/office/drawing/2014/main" id="{9966F210-11C2-4EDF-AA31-69E20F1DEC3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17" name="TextBox 12">
          <a:extLst>
            <a:ext uri="{FF2B5EF4-FFF2-40B4-BE49-F238E27FC236}">
              <a16:creationId xmlns:a16="http://schemas.microsoft.com/office/drawing/2014/main" id="{F940C8C0-9EDA-4217-A8DB-3D57EB02EC5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18" name="TextBox 9">
          <a:extLst>
            <a:ext uri="{FF2B5EF4-FFF2-40B4-BE49-F238E27FC236}">
              <a16:creationId xmlns:a16="http://schemas.microsoft.com/office/drawing/2014/main" id="{1345F62C-46F6-40B9-8211-6A855CDE6F6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19" name="TextBox 10">
          <a:extLst>
            <a:ext uri="{FF2B5EF4-FFF2-40B4-BE49-F238E27FC236}">
              <a16:creationId xmlns:a16="http://schemas.microsoft.com/office/drawing/2014/main" id="{391E706D-D8A9-4C40-A7AD-9E702B1A1E9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20" name="TextBox 11">
          <a:extLst>
            <a:ext uri="{FF2B5EF4-FFF2-40B4-BE49-F238E27FC236}">
              <a16:creationId xmlns:a16="http://schemas.microsoft.com/office/drawing/2014/main" id="{BC533349-72EC-4A45-94E5-868A5DD299D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21" name="TextBox 12">
          <a:extLst>
            <a:ext uri="{FF2B5EF4-FFF2-40B4-BE49-F238E27FC236}">
              <a16:creationId xmlns:a16="http://schemas.microsoft.com/office/drawing/2014/main" id="{E5FE0948-BC29-4EFE-8FC0-288AD58A584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22" name="TextBox 9">
          <a:extLst>
            <a:ext uri="{FF2B5EF4-FFF2-40B4-BE49-F238E27FC236}">
              <a16:creationId xmlns:a16="http://schemas.microsoft.com/office/drawing/2014/main" id="{6B90F79B-FD7D-4F60-B696-8F4D62BC0F3D}"/>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23" name="TextBox 10">
          <a:extLst>
            <a:ext uri="{FF2B5EF4-FFF2-40B4-BE49-F238E27FC236}">
              <a16:creationId xmlns:a16="http://schemas.microsoft.com/office/drawing/2014/main" id="{72502D46-0715-475F-A52F-A7D1E4CC0AD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24" name="TextBox 11">
          <a:extLst>
            <a:ext uri="{FF2B5EF4-FFF2-40B4-BE49-F238E27FC236}">
              <a16:creationId xmlns:a16="http://schemas.microsoft.com/office/drawing/2014/main" id="{C20D8A5E-0DDE-443E-A504-A4536C541B6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25" name="TextBox 12">
          <a:extLst>
            <a:ext uri="{FF2B5EF4-FFF2-40B4-BE49-F238E27FC236}">
              <a16:creationId xmlns:a16="http://schemas.microsoft.com/office/drawing/2014/main" id="{0951B447-5C98-44BE-908F-308C50D131B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26" name="TextBox 9">
          <a:extLst>
            <a:ext uri="{FF2B5EF4-FFF2-40B4-BE49-F238E27FC236}">
              <a16:creationId xmlns:a16="http://schemas.microsoft.com/office/drawing/2014/main" id="{338FF86A-B27B-470A-862D-C3A2E4245F4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27" name="TextBox 10">
          <a:extLst>
            <a:ext uri="{FF2B5EF4-FFF2-40B4-BE49-F238E27FC236}">
              <a16:creationId xmlns:a16="http://schemas.microsoft.com/office/drawing/2014/main" id="{A74A5214-0048-42F1-8310-FB78F2E176B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28" name="TextBox 11">
          <a:extLst>
            <a:ext uri="{FF2B5EF4-FFF2-40B4-BE49-F238E27FC236}">
              <a16:creationId xmlns:a16="http://schemas.microsoft.com/office/drawing/2014/main" id="{0DBC3B89-506F-426D-9467-68BFCE1776B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29" name="TextBox 12">
          <a:extLst>
            <a:ext uri="{FF2B5EF4-FFF2-40B4-BE49-F238E27FC236}">
              <a16:creationId xmlns:a16="http://schemas.microsoft.com/office/drawing/2014/main" id="{954AF445-6CA8-4C09-9932-6874867E48E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30" name="TextBox 9">
          <a:extLst>
            <a:ext uri="{FF2B5EF4-FFF2-40B4-BE49-F238E27FC236}">
              <a16:creationId xmlns:a16="http://schemas.microsoft.com/office/drawing/2014/main" id="{EEA1BCC4-9219-4C9F-A3A6-7DCC9A21CB2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31" name="TextBox 10">
          <a:extLst>
            <a:ext uri="{FF2B5EF4-FFF2-40B4-BE49-F238E27FC236}">
              <a16:creationId xmlns:a16="http://schemas.microsoft.com/office/drawing/2014/main" id="{79F48049-7999-4A7D-B8E5-D3B7C7F9F67D}"/>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32" name="TextBox 11">
          <a:extLst>
            <a:ext uri="{FF2B5EF4-FFF2-40B4-BE49-F238E27FC236}">
              <a16:creationId xmlns:a16="http://schemas.microsoft.com/office/drawing/2014/main" id="{DF2CB10D-683D-4B3E-8052-6A24AF3A92B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33" name="TextBox 12">
          <a:extLst>
            <a:ext uri="{FF2B5EF4-FFF2-40B4-BE49-F238E27FC236}">
              <a16:creationId xmlns:a16="http://schemas.microsoft.com/office/drawing/2014/main" id="{23EB1C93-20F7-42B3-AEBE-FCBB15BEBBF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30</xdr:row>
      <xdr:rowOff>0</xdr:rowOff>
    </xdr:from>
    <xdr:ext cx="211121" cy="277158"/>
    <xdr:sp macro="" textlink="">
      <xdr:nvSpPr>
        <xdr:cNvPr id="134" name="TextBox 9">
          <a:extLst>
            <a:ext uri="{FF2B5EF4-FFF2-40B4-BE49-F238E27FC236}">
              <a16:creationId xmlns:a16="http://schemas.microsoft.com/office/drawing/2014/main" id="{B2F639D0-863D-437B-8EAE-6E9118A8195B}"/>
            </a:ext>
          </a:extLst>
        </xdr:cNvPr>
        <xdr:cNvSpPr txBox="1"/>
      </xdr:nvSpPr>
      <xdr:spPr>
        <a:xfrm>
          <a:off x="7058025" y="3865245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30</xdr:row>
      <xdr:rowOff>0</xdr:rowOff>
    </xdr:from>
    <xdr:ext cx="211121" cy="277158"/>
    <xdr:sp macro="" textlink="">
      <xdr:nvSpPr>
        <xdr:cNvPr id="135" name="TextBox 10">
          <a:extLst>
            <a:ext uri="{FF2B5EF4-FFF2-40B4-BE49-F238E27FC236}">
              <a16:creationId xmlns:a16="http://schemas.microsoft.com/office/drawing/2014/main" id="{8FFB5A1F-0CE1-4879-9008-33961EA9A709}"/>
            </a:ext>
          </a:extLst>
        </xdr:cNvPr>
        <xdr:cNvSpPr txBox="1"/>
      </xdr:nvSpPr>
      <xdr:spPr>
        <a:xfrm>
          <a:off x="7058025" y="3865245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30</xdr:row>
      <xdr:rowOff>0</xdr:rowOff>
    </xdr:from>
    <xdr:ext cx="211121" cy="277158"/>
    <xdr:sp macro="" textlink="">
      <xdr:nvSpPr>
        <xdr:cNvPr id="136" name="TextBox 11">
          <a:extLst>
            <a:ext uri="{FF2B5EF4-FFF2-40B4-BE49-F238E27FC236}">
              <a16:creationId xmlns:a16="http://schemas.microsoft.com/office/drawing/2014/main" id="{A029D3B8-523E-4732-8710-6EBE7688D669}"/>
            </a:ext>
          </a:extLst>
        </xdr:cNvPr>
        <xdr:cNvSpPr txBox="1"/>
      </xdr:nvSpPr>
      <xdr:spPr>
        <a:xfrm>
          <a:off x="7058025" y="3865245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30</xdr:row>
      <xdr:rowOff>0</xdr:rowOff>
    </xdr:from>
    <xdr:ext cx="211121" cy="277158"/>
    <xdr:sp macro="" textlink="">
      <xdr:nvSpPr>
        <xdr:cNvPr id="137" name="TextBox 12">
          <a:extLst>
            <a:ext uri="{FF2B5EF4-FFF2-40B4-BE49-F238E27FC236}">
              <a16:creationId xmlns:a16="http://schemas.microsoft.com/office/drawing/2014/main" id="{4C01867C-44F3-4F78-B403-68EC8A3D8E04}"/>
            </a:ext>
          </a:extLst>
        </xdr:cNvPr>
        <xdr:cNvSpPr txBox="1"/>
      </xdr:nvSpPr>
      <xdr:spPr>
        <a:xfrm>
          <a:off x="7058025" y="3865245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38" name="TextBox 13">
          <a:extLst>
            <a:ext uri="{FF2B5EF4-FFF2-40B4-BE49-F238E27FC236}">
              <a16:creationId xmlns:a16="http://schemas.microsoft.com/office/drawing/2014/main" id="{3C0E582C-AAE6-41CC-B65E-4E6D39874F4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39" name="TextBox 14">
          <a:extLst>
            <a:ext uri="{FF2B5EF4-FFF2-40B4-BE49-F238E27FC236}">
              <a16:creationId xmlns:a16="http://schemas.microsoft.com/office/drawing/2014/main" id="{E1394389-1009-491F-B690-79B94473179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40" name="TextBox 15">
          <a:extLst>
            <a:ext uri="{FF2B5EF4-FFF2-40B4-BE49-F238E27FC236}">
              <a16:creationId xmlns:a16="http://schemas.microsoft.com/office/drawing/2014/main" id="{81892040-C03C-4903-B139-7CD4F50FABA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41" name="TextBox 16">
          <a:extLst>
            <a:ext uri="{FF2B5EF4-FFF2-40B4-BE49-F238E27FC236}">
              <a16:creationId xmlns:a16="http://schemas.microsoft.com/office/drawing/2014/main" id="{DC943C4C-32C5-47B4-B739-F1FC05D515A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42" name="TextBox 21">
          <a:extLst>
            <a:ext uri="{FF2B5EF4-FFF2-40B4-BE49-F238E27FC236}">
              <a16:creationId xmlns:a16="http://schemas.microsoft.com/office/drawing/2014/main" id="{6462D993-9CB6-4EC6-A862-DC2DA5ACA6F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43" name="TextBox 22">
          <a:extLst>
            <a:ext uri="{FF2B5EF4-FFF2-40B4-BE49-F238E27FC236}">
              <a16:creationId xmlns:a16="http://schemas.microsoft.com/office/drawing/2014/main" id="{EDEB1836-30C4-4EBA-A14B-4F14A969537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44" name="TextBox 23">
          <a:extLst>
            <a:ext uri="{FF2B5EF4-FFF2-40B4-BE49-F238E27FC236}">
              <a16:creationId xmlns:a16="http://schemas.microsoft.com/office/drawing/2014/main" id="{302C3AA9-EAB4-4FE0-9C58-03E88121EC3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45" name="TextBox 24">
          <a:extLst>
            <a:ext uri="{FF2B5EF4-FFF2-40B4-BE49-F238E27FC236}">
              <a16:creationId xmlns:a16="http://schemas.microsoft.com/office/drawing/2014/main" id="{AE26B737-23CA-41B1-A31B-A8D4FF33629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46" name="TextBox 29">
          <a:extLst>
            <a:ext uri="{FF2B5EF4-FFF2-40B4-BE49-F238E27FC236}">
              <a16:creationId xmlns:a16="http://schemas.microsoft.com/office/drawing/2014/main" id="{8EF43500-B79F-4F4B-BDA1-376604693949}"/>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47" name="TextBox 30">
          <a:extLst>
            <a:ext uri="{FF2B5EF4-FFF2-40B4-BE49-F238E27FC236}">
              <a16:creationId xmlns:a16="http://schemas.microsoft.com/office/drawing/2014/main" id="{6A44660D-D179-4C68-AABC-57567BC1FB6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48" name="TextBox 31">
          <a:extLst>
            <a:ext uri="{FF2B5EF4-FFF2-40B4-BE49-F238E27FC236}">
              <a16:creationId xmlns:a16="http://schemas.microsoft.com/office/drawing/2014/main" id="{9FE016AD-4FEE-498D-9AD4-88FA975564F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49" name="TextBox 32">
          <a:extLst>
            <a:ext uri="{FF2B5EF4-FFF2-40B4-BE49-F238E27FC236}">
              <a16:creationId xmlns:a16="http://schemas.microsoft.com/office/drawing/2014/main" id="{25508794-D772-4F51-AE77-6E7DB1977DB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50" name="TextBox 21">
          <a:extLst>
            <a:ext uri="{FF2B5EF4-FFF2-40B4-BE49-F238E27FC236}">
              <a16:creationId xmlns:a16="http://schemas.microsoft.com/office/drawing/2014/main" id="{6419D396-BCBA-45B1-BB54-FCC2CA9BDE6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51" name="TextBox 22">
          <a:extLst>
            <a:ext uri="{FF2B5EF4-FFF2-40B4-BE49-F238E27FC236}">
              <a16:creationId xmlns:a16="http://schemas.microsoft.com/office/drawing/2014/main" id="{E2A772EE-088F-4C5F-B212-C4FD7616D21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52" name="TextBox 23">
          <a:extLst>
            <a:ext uri="{FF2B5EF4-FFF2-40B4-BE49-F238E27FC236}">
              <a16:creationId xmlns:a16="http://schemas.microsoft.com/office/drawing/2014/main" id="{E2E74861-FC5F-4D15-9A64-5177921B46E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53" name="TextBox 24">
          <a:extLst>
            <a:ext uri="{FF2B5EF4-FFF2-40B4-BE49-F238E27FC236}">
              <a16:creationId xmlns:a16="http://schemas.microsoft.com/office/drawing/2014/main" id="{502A73A8-AEEF-4D1E-8BE6-D5E5778C061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54" name="TextBox 29">
          <a:extLst>
            <a:ext uri="{FF2B5EF4-FFF2-40B4-BE49-F238E27FC236}">
              <a16:creationId xmlns:a16="http://schemas.microsoft.com/office/drawing/2014/main" id="{30B1851A-B0DE-451B-A4EE-5DB6E8C1A6A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55" name="TextBox 30">
          <a:extLst>
            <a:ext uri="{FF2B5EF4-FFF2-40B4-BE49-F238E27FC236}">
              <a16:creationId xmlns:a16="http://schemas.microsoft.com/office/drawing/2014/main" id="{28F66E70-D9AD-4C95-8062-EA3AB2C2ACC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56" name="TextBox 31">
          <a:extLst>
            <a:ext uri="{FF2B5EF4-FFF2-40B4-BE49-F238E27FC236}">
              <a16:creationId xmlns:a16="http://schemas.microsoft.com/office/drawing/2014/main" id="{0ABC33EA-4CF2-435D-B85B-D27DBA27672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57" name="TextBox 32">
          <a:extLst>
            <a:ext uri="{FF2B5EF4-FFF2-40B4-BE49-F238E27FC236}">
              <a16:creationId xmlns:a16="http://schemas.microsoft.com/office/drawing/2014/main" id="{A658E5EE-8577-4C11-B22D-CBECB185919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58" name="TextBox 9">
          <a:extLst>
            <a:ext uri="{FF2B5EF4-FFF2-40B4-BE49-F238E27FC236}">
              <a16:creationId xmlns:a16="http://schemas.microsoft.com/office/drawing/2014/main" id="{0DBF4DB2-0E67-4551-A11E-E90509BA11C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59" name="TextBox 10">
          <a:extLst>
            <a:ext uri="{FF2B5EF4-FFF2-40B4-BE49-F238E27FC236}">
              <a16:creationId xmlns:a16="http://schemas.microsoft.com/office/drawing/2014/main" id="{A4E2D92C-8EB4-49A0-907B-413A32B2912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60" name="TextBox 11">
          <a:extLst>
            <a:ext uri="{FF2B5EF4-FFF2-40B4-BE49-F238E27FC236}">
              <a16:creationId xmlns:a16="http://schemas.microsoft.com/office/drawing/2014/main" id="{724C7690-9903-4626-843A-EBD3D5090DB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61" name="TextBox 12">
          <a:extLst>
            <a:ext uri="{FF2B5EF4-FFF2-40B4-BE49-F238E27FC236}">
              <a16:creationId xmlns:a16="http://schemas.microsoft.com/office/drawing/2014/main" id="{DCFB4F6D-3B15-4421-B7E3-A7E4F318C56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62" name="TextBox 9">
          <a:extLst>
            <a:ext uri="{FF2B5EF4-FFF2-40B4-BE49-F238E27FC236}">
              <a16:creationId xmlns:a16="http://schemas.microsoft.com/office/drawing/2014/main" id="{B6FAB391-986A-45D3-ADAC-2ACB3696F76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63" name="TextBox 10">
          <a:extLst>
            <a:ext uri="{FF2B5EF4-FFF2-40B4-BE49-F238E27FC236}">
              <a16:creationId xmlns:a16="http://schemas.microsoft.com/office/drawing/2014/main" id="{B2D6B1DD-66E0-48CC-9653-EF510910D48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64" name="TextBox 11">
          <a:extLst>
            <a:ext uri="{FF2B5EF4-FFF2-40B4-BE49-F238E27FC236}">
              <a16:creationId xmlns:a16="http://schemas.microsoft.com/office/drawing/2014/main" id="{20151DCF-E9C4-49F1-8091-A875EB035AA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65" name="TextBox 12">
          <a:extLst>
            <a:ext uri="{FF2B5EF4-FFF2-40B4-BE49-F238E27FC236}">
              <a16:creationId xmlns:a16="http://schemas.microsoft.com/office/drawing/2014/main" id="{3B17B069-3C7A-4C33-A866-237AA9BAB77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66" name="TextBox 9">
          <a:extLst>
            <a:ext uri="{FF2B5EF4-FFF2-40B4-BE49-F238E27FC236}">
              <a16:creationId xmlns:a16="http://schemas.microsoft.com/office/drawing/2014/main" id="{034D0A8E-B4CD-4021-87C1-C03E19DC24C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67" name="TextBox 10">
          <a:extLst>
            <a:ext uri="{FF2B5EF4-FFF2-40B4-BE49-F238E27FC236}">
              <a16:creationId xmlns:a16="http://schemas.microsoft.com/office/drawing/2014/main" id="{574C1935-411C-421D-BDE0-7F7AB2F5CF9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68" name="TextBox 11">
          <a:extLst>
            <a:ext uri="{FF2B5EF4-FFF2-40B4-BE49-F238E27FC236}">
              <a16:creationId xmlns:a16="http://schemas.microsoft.com/office/drawing/2014/main" id="{C2DDACCF-FEC6-45A2-AC5A-F9EB5CBFE36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69" name="TextBox 12">
          <a:extLst>
            <a:ext uri="{FF2B5EF4-FFF2-40B4-BE49-F238E27FC236}">
              <a16:creationId xmlns:a16="http://schemas.microsoft.com/office/drawing/2014/main" id="{AD9F563D-3BF5-4F71-812C-F1231DB47D5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70" name="TextBox 9">
          <a:extLst>
            <a:ext uri="{FF2B5EF4-FFF2-40B4-BE49-F238E27FC236}">
              <a16:creationId xmlns:a16="http://schemas.microsoft.com/office/drawing/2014/main" id="{8672AFA7-5A86-4A0A-A9E5-87932546CA6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71" name="TextBox 10">
          <a:extLst>
            <a:ext uri="{FF2B5EF4-FFF2-40B4-BE49-F238E27FC236}">
              <a16:creationId xmlns:a16="http://schemas.microsoft.com/office/drawing/2014/main" id="{7988C9C1-B6B4-493E-8C5A-FD4D5D00917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72" name="TextBox 11">
          <a:extLst>
            <a:ext uri="{FF2B5EF4-FFF2-40B4-BE49-F238E27FC236}">
              <a16:creationId xmlns:a16="http://schemas.microsoft.com/office/drawing/2014/main" id="{27661303-1F76-4D40-A4C4-9D68BCF9CBE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73" name="TextBox 12">
          <a:extLst>
            <a:ext uri="{FF2B5EF4-FFF2-40B4-BE49-F238E27FC236}">
              <a16:creationId xmlns:a16="http://schemas.microsoft.com/office/drawing/2014/main" id="{E5CB6C4F-DD66-456E-8CF1-06A88BF4B2C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74" name="TextBox 9">
          <a:extLst>
            <a:ext uri="{FF2B5EF4-FFF2-40B4-BE49-F238E27FC236}">
              <a16:creationId xmlns:a16="http://schemas.microsoft.com/office/drawing/2014/main" id="{FBB30E63-4580-46D1-B519-C797CDF64F0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75" name="TextBox 10">
          <a:extLst>
            <a:ext uri="{FF2B5EF4-FFF2-40B4-BE49-F238E27FC236}">
              <a16:creationId xmlns:a16="http://schemas.microsoft.com/office/drawing/2014/main" id="{8DD8C341-BE6B-4DEF-A9DD-9D43911B3B54}"/>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76" name="TextBox 11">
          <a:extLst>
            <a:ext uri="{FF2B5EF4-FFF2-40B4-BE49-F238E27FC236}">
              <a16:creationId xmlns:a16="http://schemas.microsoft.com/office/drawing/2014/main" id="{4E5E041D-1C3F-467A-8A8A-CE9EE179719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77" name="TextBox 12">
          <a:extLst>
            <a:ext uri="{FF2B5EF4-FFF2-40B4-BE49-F238E27FC236}">
              <a16:creationId xmlns:a16="http://schemas.microsoft.com/office/drawing/2014/main" id="{B9912569-0BE9-4B12-AEC6-4DFE5EE6995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78" name="TextBox 9">
          <a:extLst>
            <a:ext uri="{FF2B5EF4-FFF2-40B4-BE49-F238E27FC236}">
              <a16:creationId xmlns:a16="http://schemas.microsoft.com/office/drawing/2014/main" id="{5202F6AD-27C8-4A58-B05F-923A995CBB09}"/>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79" name="TextBox 10">
          <a:extLst>
            <a:ext uri="{FF2B5EF4-FFF2-40B4-BE49-F238E27FC236}">
              <a16:creationId xmlns:a16="http://schemas.microsoft.com/office/drawing/2014/main" id="{6088A236-576C-403E-A836-C68AFA3B28C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80" name="TextBox 11">
          <a:extLst>
            <a:ext uri="{FF2B5EF4-FFF2-40B4-BE49-F238E27FC236}">
              <a16:creationId xmlns:a16="http://schemas.microsoft.com/office/drawing/2014/main" id="{87C7CADA-D564-4B58-9E9A-11E328671C6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81" name="TextBox 12">
          <a:extLst>
            <a:ext uri="{FF2B5EF4-FFF2-40B4-BE49-F238E27FC236}">
              <a16:creationId xmlns:a16="http://schemas.microsoft.com/office/drawing/2014/main" id="{AE101DB9-6CBC-478C-91D4-A7462F4708F4}"/>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82" name="TextBox 9">
          <a:extLst>
            <a:ext uri="{FF2B5EF4-FFF2-40B4-BE49-F238E27FC236}">
              <a16:creationId xmlns:a16="http://schemas.microsoft.com/office/drawing/2014/main" id="{B3FB0662-499D-44E6-BD7C-6ADDAF5BBC2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83" name="TextBox 10">
          <a:extLst>
            <a:ext uri="{FF2B5EF4-FFF2-40B4-BE49-F238E27FC236}">
              <a16:creationId xmlns:a16="http://schemas.microsoft.com/office/drawing/2014/main" id="{8D7C211B-27E8-4DBF-83ED-52CEA89C5DE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84" name="TextBox 11">
          <a:extLst>
            <a:ext uri="{FF2B5EF4-FFF2-40B4-BE49-F238E27FC236}">
              <a16:creationId xmlns:a16="http://schemas.microsoft.com/office/drawing/2014/main" id="{66A7F064-7907-49E6-B8FE-0AF1A1CBFCD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85" name="TextBox 12">
          <a:extLst>
            <a:ext uri="{FF2B5EF4-FFF2-40B4-BE49-F238E27FC236}">
              <a16:creationId xmlns:a16="http://schemas.microsoft.com/office/drawing/2014/main" id="{C0F8365B-3711-45A3-A5AB-3C6827C909B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86" name="TextBox 9">
          <a:extLst>
            <a:ext uri="{FF2B5EF4-FFF2-40B4-BE49-F238E27FC236}">
              <a16:creationId xmlns:a16="http://schemas.microsoft.com/office/drawing/2014/main" id="{63853B29-C5B7-4ACC-9FDD-9CDB55C1A0F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87" name="TextBox 10">
          <a:extLst>
            <a:ext uri="{FF2B5EF4-FFF2-40B4-BE49-F238E27FC236}">
              <a16:creationId xmlns:a16="http://schemas.microsoft.com/office/drawing/2014/main" id="{7F9A0FFB-73E9-4B0A-902D-F54B0DE749A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88" name="TextBox 11">
          <a:extLst>
            <a:ext uri="{FF2B5EF4-FFF2-40B4-BE49-F238E27FC236}">
              <a16:creationId xmlns:a16="http://schemas.microsoft.com/office/drawing/2014/main" id="{FAF54673-701F-4FA8-9CC2-D37560A5BC8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89" name="TextBox 12">
          <a:extLst>
            <a:ext uri="{FF2B5EF4-FFF2-40B4-BE49-F238E27FC236}">
              <a16:creationId xmlns:a16="http://schemas.microsoft.com/office/drawing/2014/main" id="{3C160E8A-99B8-4D2D-9B37-49885B9E6F7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90" name="TextBox 13">
          <a:extLst>
            <a:ext uri="{FF2B5EF4-FFF2-40B4-BE49-F238E27FC236}">
              <a16:creationId xmlns:a16="http://schemas.microsoft.com/office/drawing/2014/main" id="{D529C0B2-6F9A-4A92-B738-68E266B7682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91" name="TextBox 14">
          <a:extLst>
            <a:ext uri="{FF2B5EF4-FFF2-40B4-BE49-F238E27FC236}">
              <a16:creationId xmlns:a16="http://schemas.microsoft.com/office/drawing/2014/main" id="{514F4061-1827-4CC6-9785-CE49F87EB8D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92" name="TextBox 15">
          <a:extLst>
            <a:ext uri="{FF2B5EF4-FFF2-40B4-BE49-F238E27FC236}">
              <a16:creationId xmlns:a16="http://schemas.microsoft.com/office/drawing/2014/main" id="{5CFD4DCF-219E-4DB6-AE29-110602DF2DF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93" name="TextBox 16">
          <a:extLst>
            <a:ext uri="{FF2B5EF4-FFF2-40B4-BE49-F238E27FC236}">
              <a16:creationId xmlns:a16="http://schemas.microsoft.com/office/drawing/2014/main" id="{948CB1FE-4DDD-415F-86EF-966A6E516C04}"/>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94" name="TextBox 21">
          <a:extLst>
            <a:ext uri="{FF2B5EF4-FFF2-40B4-BE49-F238E27FC236}">
              <a16:creationId xmlns:a16="http://schemas.microsoft.com/office/drawing/2014/main" id="{A73C7841-C160-4A4D-9E60-D729EE72789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95" name="TextBox 22">
          <a:extLst>
            <a:ext uri="{FF2B5EF4-FFF2-40B4-BE49-F238E27FC236}">
              <a16:creationId xmlns:a16="http://schemas.microsoft.com/office/drawing/2014/main" id="{CCD293A0-83F1-4B7A-8551-82B535C50E0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96" name="TextBox 23">
          <a:extLst>
            <a:ext uri="{FF2B5EF4-FFF2-40B4-BE49-F238E27FC236}">
              <a16:creationId xmlns:a16="http://schemas.microsoft.com/office/drawing/2014/main" id="{B05A5D6E-0A19-4C90-A169-A6129E488E7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97" name="TextBox 24">
          <a:extLst>
            <a:ext uri="{FF2B5EF4-FFF2-40B4-BE49-F238E27FC236}">
              <a16:creationId xmlns:a16="http://schemas.microsoft.com/office/drawing/2014/main" id="{20887E46-2AAE-4CB9-884C-FEF7409ADE6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98" name="TextBox 29">
          <a:extLst>
            <a:ext uri="{FF2B5EF4-FFF2-40B4-BE49-F238E27FC236}">
              <a16:creationId xmlns:a16="http://schemas.microsoft.com/office/drawing/2014/main" id="{806AFD01-AA85-426E-B74C-4A1AFAB8ECB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199" name="TextBox 30">
          <a:extLst>
            <a:ext uri="{FF2B5EF4-FFF2-40B4-BE49-F238E27FC236}">
              <a16:creationId xmlns:a16="http://schemas.microsoft.com/office/drawing/2014/main" id="{F1EA1324-B383-448D-940C-C4B2D6B7F06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00" name="TextBox 31">
          <a:extLst>
            <a:ext uri="{FF2B5EF4-FFF2-40B4-BE49-F238E27FC236}">
              <a16:creationId xmlns:a16="http://schemas.microsoft.com/office/drawing/2014/main" id="{383088AC-0535-41C7-8685-0C21FD9B731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01" name="TextBox 32">
          <a:extLst>
            <a:ext uri="{FF2B5EF4-FFF2-40B4-BE49-F238E27FC236}">
              <a16:creationId xmlns:a16="http://schemas.microsoft.com/office/drawing/2014/main" id="{AEFAB967-B20E-405A-91D5-9D67F2C11E7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02" name="TextBox 21">
          <a:extLst>
            <a:ext uri="{FF2B5EF4-FFF2-40B4-BE49-F238E27FC236}">
              <a16:creationId xmlns:a16="http://schemas.microsoft.com/office/drawing/2014/main" id="{102C8E99-C44C-4434-87EA-C1AB1D7215E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03" name="TextBox 22">
          <a:extLst>
            <a:ext uri="{FF2B5EF4-FFF2-40B4-BE49-F238E27FC236}">
              <a16:creationId xmlns:a16="http://schemas.microsoft.com/office/drawing/2014/main" id="{34C66F40-0EEC-4472-A3C8-FD5F66DBD2F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04" name="TextBox 23">
          <a:extLst>
            <a:ext uri="{FF2B5EF4-FFF2-40B4-BE49-F238E27FC236}">
              <a16:creationId xmlns:a16="http://schemas.microsoft.com/office/drawing/2014/main" id="{660F981A-E423-43DB-9FBC-8ADACA8D942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05" name="TextBox 24">
          <a:extLst>
            <a:ext uri="{FF2B5EF4-FFF2-40B4-BE49-F238E27FC236}">
              <a16:creationId xmlns:a16="http://schemas.microsoft.com/office/drawing/2014/main" id="{475B74BF-D8F5-4D6F-8C53-11B142C1520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06" name="TextBox 29">
          <a:extLst>
            <a:ext uri="{FF2B5EF4-FFF2-40B4-BE49-F238E27FC236}">
              <a16:creationId xmlns:a16="http://schemas.microsoft.com/office/drawing/2014/main" id="{B2D00DD9-BBBA-4CD5-ABA2-D81B0788DC2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07" name="TextBox 30">
          <a:extLst>
            <a:ext uri="{FF2B5EF4-FFF2-40B4-BE49-F238E27FC236}">
              <a16:creationId xmlns:a16="http://schemas.microsoft.com/office/drawing/2014/main" id="{59C713C7-39A7-4723-92DF-24961FB7AEB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08" name="TextBox 31">
          <a:extLst>
            <a:ext uri="{FF2B5EF4-FFF2-40B4-BE49-F238E27FC236}">
              <a16:creationId xmlns:a16="http://schemas.microsoft.com/office/drawing/2014/main" id="{E70EF17F-15B9-4C62-B543-95E2B50113F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09" name="TextBox 32">
          <a:extLst>
            <a:ext uri="{FF2B5EF4-FFF2-40B4-BE49-F238E27FC236}">
              <a16:creationId xmlns:a16="http://schemas.microsoft.com/office/drawing/2014/main" id="{27E136D7-0DF3-467C-A59C-D615AEF2975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10" name="TextBox 9">
          <a:extLst>
            <a:ext uri="{FF2B5EF4-FFF2-40B4-BE49-F238E27FC236}">
              <a16:creationId xmlns:a16="http://schemas.microsoft.com/office/drawing/2014/main" id="{4CE4CDD2-33B7-49A8-B4E3-C0E8AA2E1514}"/>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11" name="TextBox 10">
          <a:extLst>
            <a:ext uri="{FF2B5EF4-FFF2-40B4-BE49-F238E27FC236}">
              <a16:creationId xmlns:a16="http://schemas.microsoft.com/office/drawing/2014/main" id="{537955CD-FF25-4A3A-A201-9FCA18EA24A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12" name="TextBox 11">
          <a:extLst>
            <a:ext uri="{FF2B5EF4-FFF2-40B4-BE49-F238E27FC236}">
              <a16:creationId xmlns:a16="http://schemas.microsoft.com/office/drawing/2014/main" id="{0181AA4B-933D-4BE7-B531-F160047EE8C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13" name="TextBox 12">
          <a:extLst>
            <a:ext uri="{FF2B5EF4-FFF2-40B4-BE49-F238E27FC236}">
              <a16:creationId xmlns:a16="http://schemas.microsoft.com/office/drawing/2014/main" id="{6BF67E8E-CB5B-4DBE-8936-931C66ECA09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14" name="TextBox 9">
          <a:extLst>
            <a:ext uri="{FF2B5EF4-FFF2-40B4-BE49-F238E27FC236}">
              <a16:creationId xmlns:a16="http://schemas.microsoft.com/office/drawing/2014/main" id="{0DB85C82-0069-4318-8721-0424FAF0BF5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15" name="TextBox 10">
          <a:extLst>
            <a:ext uri="{FF2B5EF4-FFF2-40B4-BE49-F238E27FC236}">
              <a16:creationId xmlns:a16="http://schemas.microsoft.com/office/drawing/2014/main" id="{3250F2EB-6BF9-4044-A2F1-53FA640FD46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16" name="TextBox 11">
          <a:extLst>
            <a:ext uri="{FF2B5EF4-FFF2-40B4-BE49-F238E27FC236}">
              <a16:creationId xmlns:a16="http://schemas.microsoft.com/office/drawing/2014/main" id="{161251FC-D0A5-4606-915C-0704427722C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17" name="TextBox 12">
          <a:extLst>
            <a:ext uri="{FF2B5EF4-FFF2-40B4-BE49-F238E27FC236}">
              <a16:creationId xmlns:a16="http://schemas.microsoft.com/office/drawing/2014/main" id="{E8A1D2E8-0BA5-42B5-AB6E-47DE69D0B95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18" name="TextBox 9">
          <a:extLst>
            <a:ext uri="{FF2B5EF4-FFF2-40B4-BE49-F238E27FC236}">
              <a16:creationId xmlns:a16="http://schemas.microsoft.com/office/drawing/2014/main" id="{9AB4D2FB-1CC7-41DE-A18A-0B88F3E9085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19" name="TextBox 10">
          <a:extLst>
            <a:ext uri="{FF2B5EF4-FFF2-40B4-BE49-F238E27FC236}">
              <a16:creationId xmlns:a16="http://schemas.microsoft.com/office/drawing/2014/main" id="{AA9A399B-0D93-4405-AEF3-329D1F239FC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20" name="TextBox 11">
          <a:extLst>
            <a:ext uri="{FF2B5EF4-FFF2-40B4-BE49-F238E27FC236}">
              <a16:creationId xmlns:a16="http://schemas.microsoft.com/office/drawing/2014/main" id="{3C24DDFB-D810-423A-B2FF-1EBCF745F14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21" name="TextBox 12">
          <a:extLst>
            <a:ext uri="{FF2B5EF4-FFF2-40B4-BE49-F238E27FC236}">
              <a16:creationId xmlns:a16="http://schemas.microsoft.com/office/drawing/2014/main" id="{E7DBCC78-C7E7-46A9-96CA-83DDFA3CDA4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22" name="TextBox 9">
          <a:extLst>
            <a:ext uri="{FF2B5EF4-FFF2-40B4-BE49-F238E27FC236}">
              <a16:creationId xmlns:a16="http://schemas.microsoft.com/office/drawing/2014/main" id="{D13B1AA9-C899-4373-9815-804A91D1B124}"/>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23" name="TextBox 10">
          <a:extLst>
            <a:ext uri="{FF2B5EF4-FFF2-40B4-BE49-F238E27FC236}">
              <a16:creationId xmlns:a16="http://schemas.microsoft.com/office/drawing/2014/main" id="{8463E1FE-974D-47C1-A48A-F7A83000334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24" name="TextBox 11">
          <a:extLst>
            <a:ext uri="{FF2B5EF4-FFF2-40B4-BE49-F238E27FC236}">
              <a16:creationId xmlns:a16="http://schemas.microsoft.com/office/drawing/2014/main" id="{939F2ED1-B80C-46B7-90CA-C3274D6EFE0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25" name="TextBox 12">
          <a:extLst>
            <a:ext uri="{FF2B5EF4-FFF2-40B4-BE49-F238E27FC236}">
              <a16:creationId xmlns:a16="http://schemas.microsoft.com/office/drawing/2014/main" id="{A577E18B-25F4-47E7-A7FF-289514762E2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26" name="TextBox 9">
          <a:extLst>
            <a:ext uri="{FF2B5EF4-FFF2-40B4-BE49-F238E27FC236}">
              <a16:creationId xmlns:a16="http://schemas.microsoft.com/office/drawing/2014/main" id="{35645B9E-81DA-444D-AEDA-DAD0C6F94B4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27" name="TextBox 10">
          <a:extLst>
            <a:ext uri="{FF2B5EF4-FFF2-40B4-BE49-F238E27FC236}">
              <a16:creationId xmlns:a16="http://schemas.microsoft.com/office/drawing/2014/main" id="{888ED911-C6CA-401C-B7A3-2ED48BAB631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28" name="TextBox 11">
          <a:extLst>
            <a:ext uri="{FF2B5EF4-FFF2-40B4-BE49-F238E27FC236}">
              <a16:creationId xmlns:a16="http://schemas.microsoft.com/office/drawing/2014/main" id="{755E8B76-6967-4C07-A0F8-0FCDA6B65F0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29" name="TextBox 12">
          <a:extLst>
            <a:ext uri="{FF2B5EF4-FFF2-40B4-BE49-F238E27FC236}">
              <a16:creationId xmlns:a16="http://schemas.microsoft.com/office/drawing/2014/main" id="{36325BE1-D909-4A20-AE22-93EA2C01946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30" name="TextBox 9">
          <a:extLst>
            <a:ext uri="{FF2B5EF4-FFF2-40B4-BE49-F238E27FC236}">
              <a16:creationId xmlns:a16="http://schemas.microsoft.com/office/drawing/2014/main" id="{9D9EF062-38CF-444B-9C76-63F3F8136A4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31" name="TextBox 10">
          <a:extLst>
            <a:ext uri="{FF2B5EF4-FFF2-40B4-BE49-F238E27FC236}">
              <a16:creationId xmlns:a16="http://schemas.microsoft.com/office/drawing/2014/main" id="{17556A97-D083-4FB6-A0A2-666A09CD0E5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32" name="TextBox 11">
          <a:extLst>
            <a:ext uri="{FF2B5EF4-FFF2-40B4-BE49-F238E27FC236}">
              <a16:creationId xmlns:a16="http://schemas.microsoft.com/office/drawing/2014/main" id="{8D69212C-7F63-4D46-92B6-CE001FCD2E8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33" name="TextBox 12">
          <a:extLst>
            <a:ext uri="{FF2B5EF4-FFF2-40B4-BE49-F238E27FC236}">
              <a16:creationId xmlns:a16="http://schemas.microsoft.com/office/drawing/2014/main" id="{22AE0D7E-2C0F-48F3-8EE0-8B59CCC9247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34" name="TextBox 9">
          <a:extLst>
            <a:ext uri="{FF2B5EF4-FFF2-40B4-BE49-F238E27FC236}">
              <a16:creationId xmlns:a16="http://schemas.microsoft.com/office/drawing/2014/main" id="{689B8B43-E397-4DD4-9781-6A3859FE065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35" name="TextBox 10">
          <a:extLst>
            <a:ext uri="{FF2B5EF4-FFF2-40B4-BE49-F238E27FC236}">
              <a16:creationId xmlns:a16="http://schemas.microsoft.com/office/drawing/2014/main" id="{4623A9C3-B145-41D0-ACE5-9E44D2D8C559}"/>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36" name="TextBox 11">
          <a:extLst>
            <a:ext uri="{FF2B5EF4-FFF2-40B4-BE49-F238E27FC236}">
              <a16:creationId xmlns:a16="http://schemas.microsoft.com/office/drawing/2014/main" id="{C336355C-193C-4989-B6D2-D9BA9559F67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37" name="TextBox 12">
          <a:extLst>
            <a:ext uri="{FF2B5EF4-FFF2-40B4-BE49-F238E27FC236}">
              <a16:creationId xmlns:a16="http://schemas.microsoft.com/office/drawing/2014/main" id="{ADCDDFD7-917F-463D-B79A-862468EAA8D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38" name="TextBox 9">
          <a:extLst>
            <a:ext uri="{FF2B5EF4-FFF2-40B4-BE49-F238E27FC236}">
              <a16:creationId xmlns:a16="http://schemas.microsoft.com/office/drawing/2014/main" id="{CB18017B-D1B0-4DDF-8709-BDF495C78C0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39" name="TextBox 10">
          <a:extLst>
            <a:ext uri="{FF2B5EF4-FFF2-40B4-BE49-F238E27FC236}">
              <a16:creationId xmlns:a16="http://schemas.microsoft.com/office/drawing/2014/main" id="{9B438AA8-E9A4-4F8E-BB07-D41453FD4BC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40" name="TextBox 11">
          <a:extLst>
            <a:ext uri="{FF2B5EF4-FFF2-40B4-BE49-F238E27FC236}">
              <a16:creationId xmlns:a16="http://schemas.microsoft.com/office/drawing/2014/main" id="{E948B719-9CC2-4A2C-8A40-8761A49F469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41" name="TextBox 12">
          <a:extLst>
            <a:ext uri="{FF2B5EF4-FFF2-40B4-BE49-F238E27FC236}">
              <a16:creationId xmlns:a16="http://schemas.microsoft.com/office/drawing/2014/main" id="{3B8C2EE4-92A7-446B-AF91-21377045DB9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42" name="TextBox 13">
          <a:extLst>
            <a:ext uri="{FF2B5EF4-FFF2-40B4-BE49-F238E27FC236}">
              <a16:creationId xmlns:a16="http://schemas.microsoft.com/office/drawing/2014/main" id="{A531C2A6-BFFB-440D-A1E4-99C3F8E080B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43" name="TextBox 14">
          <a:extLst>
            <a:ext uri="{FF2B5EF4-FFF2-40B4-BE49-F238E27FC236}">
              <a16:creationId xmlns:a16="http://schemas.microsoft.com/office/drawing/2014/main" id="{CD676A72-A531-43D1-BD57-D2F961AD849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44" name="TextBox 15">
          <a:extLst>
            <a:ext uri="{FF2B5EF4-FFF2-40B4-BE49-F238E27FC236}">
              <a16:creationId xmlns:a16="http://schemas.microsoft.com/office/drawing/2014/main" id="{A7C0B8ED-79D2-480A-9C31-0D5206B7CB39}"/>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45" name="TextBox 16">
          <a:extLst>
            <a:ext uri="{FF2B5EF4-FFF2-40B4-BE49-F238E27FC236}">
              <a16:creationId xmlns:a16="http://schemas.microsoft.com/office/drawing/2014/main" id="{1CF9C7C9-3F1C-4BCC-BE35-36674675340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46" name="TextBox 21">
          <a:extLst>
            <a:ext uri="{FF2B5EF4-FFF2-40B4-BE49-F238E27FC236}">
              <a16:creationId xmlns:a16="http://schemas.microsoft.com/office/drawing/2014/main" id="{3D1CE447-6D7E-4FC1-B933-DF3C1DFDD59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47" name="TextBox 22">
          <a:extLst>
            <a:ext uri="{FF2B5EF4-FFF2-40B4-BE49-F238E27FC236}">
              <a16:creationId xmlns:a16="http://schemas.microsoft.com/office/drawing/2014/main" id="{B73B8956-5DE4-4C0B-A5F4-62B048620F0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48" name="TextBox 23">
          <a:extLst>
            <a:ext uri="{FF2B5EF4-FFF2-40B4-BE49-F238E27FC236}">
              <a16:creationId xmlns:a16="http://schemas.microsoft.com/office/drawing/2014/main" id="{F1560EDE-DE50-4E4F-BEB6-840F44201F1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49" name="TextBox 24">
          <a:extLst>
            <a:ext uri="{FF2B5EF4-FFF2-40B4-BE49-F238E27FC236}">
              <a16:creationId xmlns:a16="http://schemas.microsoft.com/office/drawing/2014/main" id="{456A775E-DDB6-4BAB-A951-1A98F7E2BBB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50" name="TextBox 29">
          <a:extLst>
            <a:ext uri="{FF2B5EF4-FFF2-40B4-BE49-F238E27FC236}">
              <a16:creationId xmlns:a16="http://schemas.microsoft.com/office/drawing/2014/main" id="{96F7F199-6E28-4D1F-BCB1-F5239D6AFF5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51" name="TextBox 30">
          <a:extLst>
            <a:ext uri="{FF2B5EF4-FFF2-40B4-BE49-F238E27FC236}">
              <a16:creationId xmlns:a16="http://schemas.microsoft.com/office/drawing/2014/main" id="{5D6CF504-501D-4285-B80B-D3C26AE1FEF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52" name="TextBox 31">
          <a:extLst>
            <a:ext uri="{FF2B5EF4-FFF2-40B4-BE49-F238E27FC236}">
              <a16:creationId xmlns:a16="http://schemas.microsoft.com/office/drawing/2014/main" id="{A42B54ED-2620-45A0-9529-986E6C935234}"/>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53" name="TextBox 32">
          <a:extLst>
            <a:ext uri="{FF2B5EF4-FFF2-40B4-BE49-F238E27FC236}">
              <a16:creationId xmlns:a16="http://schemas.microsoft.com/office/drawing/2014/main" id="{DC9568E7-E209-4E34-B7BE-F83504EFEBC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54" name="TextBox 21">
          <a:extLst>
            <a:ext uri="{FF2B5EF4-FFF2-40B4-BE49-F238E27FC236}">
              <a16:creationId xmlns:a16="http://schemas.microsoft.com/office/drawing/2014/main" id="{FDF86E22-D8AD-47C2-A086-116BB89AD9D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55" name="TextBox 22">
          <a:extLst>
            <a:ext uri="{FF2B5EF4-FFF2-40B4-BE49-F238E27FC236}">
              <a16:creationId xmlns:a16="http://schemas.microsoft.com/office/drawing/2014/main" id="{967FB3B9-2AF9-4F7B-A70D-B5449637B80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56" name="TextBox 23">
          <a:extLst>
            <a:ext uri="{FF2B5EF4-FFF2-40B4-BE49-F238E27FC236}">
              <a16:creationId xmlns:a16="http://schemas.microsoft.com/office/drawing/2014/main" id="{109E70D6-B86B-4C97-AA99-488E3309A00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57" name="TextBox 24">
          <a:extLst>
            <a:ext uri="{FF2B5EF4-FFF2-40B4-BE49-F238E27FC236}">
              <a16:creationId xmlns:a16="http://schemas.microsoft.com/office/drawing/2014/main" id="{D77538FE-62B4-4B2E-989C-324837EE2B3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58" name="TextBox 29">
          <a:extLst>
            <a:ext uri="{FF2B5EF4-FFF2-40B4-BE49-F238E27FC236}">
              <a16:creationId xmlns:a16="http://schemas.microsoft.com/office/drawing/2014/main" id="{485BCC74-FA80-40F0-B047-18886103993D}"/>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59" name="TextBox 30">
          <a:extLst>
            <a:ext uri="{FF2B5EF4-FFF2-40B4-BE49-F238E27FC236}">
              <a16:creationId xmlns:a16="http://schemas.microsoft.com/office/drawing/2014/main" id="{50ED695F-FE43-46ED-BD99-C4AED990C45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60" name="TextBox 31">
          <a:extLst>
            <a:ext uri="{FF2B5EF4-FFF2-40B4-BE49-F238E27FC236}">
              <a16:creationId xmlns:a16="http://schemas.microsoft.com/office/drawing/2014/main" id="{4686801D-544A-4745-99A0-7EF9C9A09AA9}"/>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61" name="TextBox 32">
          <a:extLst>
            <a:ext uri="{FF2B5EF4-FFF2-40B4-BE49-F238E27FC236}">
              <a16:creationId xmlns:a16="http://schemas.microsoft.com/office/drawing/2014/main" id="{B907F0E5-ACA3-448D-8C8C-D2B422F21C3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62" name="TextBox 9">
          <a:extLst>
            <a:ext uri="{FF2B5EF4-FFF2-40B4-BE49-F238E27FC236}">
              <a16:creationId xmlns:a16="http://schemas.microsoft.com/office/drawing/2014/main" id="{1458936D-F8D9-44AC-A2BC-A1FE283E3D7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63" name="TextBox 10">
          <a:extLst>
            <a:ext uri="{FF2B5EF4-FFF2-40B4-BE49-F238E27FC236}">
              <a16:creationId xmlns:a16="http://schemas.microsoft.com/office/drawing/2014/main" id="{AF55CF65-4523-4007-913C-FCD5DC8155C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64" name="TextBox 11">
          <a:extLst>
            <a:ext uri="{FF2B5EF4-FFF2-40B4-BE49-F238E27FC236}">
              <a16:creationId xmlns:a16="http://schemas.microsoft.com/office/drawing/2014/main" id="{9229126A-EF4D-4533-B509-609283BA791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65" name="TextBox 12">
          <a:extLst>
            <a:ext uri="{FF2B5EF4-FFF2-40B4-BE49-F238E27FC236}">
              <a16:creationId xmlns:a16="http://schemas.microsoft.com/office/drawing/2014/main" id="{2E3F6017-D60A-4272-A5D0-3C4A8A4EE69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66" name="TextBox 9">
          <a:extLst>
            <a:ext uri="{FF2B5EF4-FFF2-40B4-BE49-F238E27FC236}">
              <a16:creationId xmlns:a16="http://schemas.microsoft.com/office/drawing/2014/main" id="{1931570D-81CF-4954-8D2F-5459A5CD634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67" name="TextBox 10">
          <a:extLst>
            <a:ext uri="{FF2B5EF4-FFF2-40B4-BE49-F238E27FC236}">
              <a16:creationId xmlns:a16="http://schemas.microsoft.com/office/drawing/2014/main" id="{904455C9-30BD-4500-A927-6D15612C48F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68" name="TextBox 11">
          <a:extLst>
            <a:ext uri="{FF2B5EF4-FFF2-40B4-BE49-F238E27FC236}">
              <a16:creationId xmlns:a16="http://schemas.microsoft.com/office/drawing/2014/main" id="{28359A8F-D6F0-40DE-8C36-8E7DF809F5E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69" name="TextBox 12">
          <a:extLst>
            <a:ext uri="{FF2B5EF4-FFF2-40B4-BE49-F238E27FC236}">
              <a16:creationId xmlns:a16="http://schemas.microsoft.com/office/drawing/2014/main" id="{67F6B27E-247F-429B-8A9E-D324B13A9309}"/>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70" name="TextBox 9">
          <a:extLst>
            <a:ext uri="{FF2B5EF4-FFF2-40B4-BE49-F238E27FC236}">
              <a16:creationId xmlns:a16="http://schemas.microsoft.com/office/drawing/2014/main" id="{D176031A-060F-44C6-8986-6FB8389BE28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71" name="TextBox 10">
          <a:extLst>
            <a:ext uri="{FF2B5EF4-FFF2-40B4-BE49-F238E27FC236}">
              <a16:creationId xmlns:a16="http://schemas.microsoft.com/office/drawing/2014/main" id="{959E73A1-F80F-4BAE-95AD-B5FD21846A9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72" name="TextBox 11">
          <a:extLst>
            <a:ext uri="{FF2B5EF4-FFF2-40B4-BE49-F238E27FC236}">
              <a16:creationId xmlns:a16="http://schemas.microsoft.com/office/drawing/2014/main" id="{93FA4CA1-59B4-4171-BFF0-4266650EAAE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73" name="TextBox 12">
          <a:extLst>
            <a:ext uri="{FF2B5EF4-FFF2-40B4-BE49-F238E27FC236}">
              <a16:creationId xmlns:a16="http://schemas.microsoft.com/office/drawing/2014/main" id="{3D031C11-0DB6-45DD-946F-A7402D6C804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74" name="TextBox 9">
          <a:extLst>
            <a:ext uri="{FF2B5EF4-FFF2-40B4-BE49-F238E27FC236}">
              <a16:creationId xmlns:a16="http://schemas.microsoft.com/office/drawing/2014/main" id="{97198E57-D33F-47C8-814D-ACDABC2C9D7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75" name="TextBox 10">
          <a:extLst>
            <a:ext uri="{FF2B5EF4-FFF2-40B4-BE49-F238E27FC236}">
              <a16:creationId xmlns:a16="http://schemas.microsoft.com/office/drawing/2014/main" id="{E92D209D-6722-49BC-823C-17281954067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76" name="TextBox 11">
          <a:extLst>
            <a:ext uri="{FF2B5EF4-FFF2-40B4-BE49-F238E27FC236}">
              <a16:creationId xmlns:a16="http://schemas.microsoft.com/office/drawing/2014/main" id="{ADAB759B-B5D1-4B3E-ADD6-E0A8BCAAF4C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77" name="TextBox 12">
          <a:extLst>
            <a:ext uri="{FF2B5EF4-FFF2-40B4-BE49-F238E27FC236}">
              <a16:creationId xmlns:a16="http://schemas.microsoft.com/office/drawing/2014/main" id="{A987EACE-72BE-42CA-B8F6-E6E6706B682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78" name="TextBox 9">
          <a:extLst>
            <a:ext uri="{FF2B5EF4-FFF2-40B4-BE49-F238E27FC236}">
              <a16:creationId xmlns:a16="http://schemas.microsoft.com/office/drawing/2014/main" id="{DAAC59E4-1BEA-44F8-B4F9-AAF4F7B7D66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79" name="TextBox 10">
          <a:extLst>
            <a:ext uri="{FF2B5EF4-FFF2-40B4-BE49-F238E27FC236}">
              <a16:creationId xmlns:a16="http://schemas.microsoft.com/office/drawing/2014/main" id="{F28C0953-CC46-4116-B647-5C8BE7BAD4F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80" name="TextBox 11">
          <a:extLst>
            <a:ext uri="{FF2B5EF4-FFF2-40B4-BE49-F238E27FC236}">
              <a16:creationId xmlns:a16="http://schemas.microsoft.com/office/drawing/2014/main" id="{0F79D3D8-71B1-45FE-A779-1B44999ABEA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81" name="TextBox 12">
          <a:extLst>
            <a:ext uri="{FF2B5EF4-FFF2-40B4-BE49-F238E27FC236}">
              <a16:creationId xmlns:a16="http://schemas.microsoft.com/office/drawing/2014/main" id="{FDDA15EE-C5C4-48FA-8D6D-98139BBCAE2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82" name="TextBox 9">
          <a:extLst>
            <a:ext uri="{FF2B5EF4-FFF2-40B4-BE49-F238E27FC236}">
              <a16:creationId xmlns:a16="http://schemas.microsoft.com/office/drawing/2014/main" id="{C7E64BC5-975C-4309-AE06-1A1F859CBC19}"/>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83" name="TextBox 10">
          <a:extLst>
            <a:ext uri="{FF2B5EF4-FFF2-40B4-BE49-F238E27FC236}">
              <a16:creationId xmlns:a16="http://schemas.microsoft.com/office/drawing/2014/main" id="{5F30A9E6-89B6-4472-A6F5-16A99262020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84" name="TextBox 11">
          <a:extLst>
            <a:ext uri="{FF2B5EF4-FFF2-40B4-BE49-F238E27FC236}">
              <a16:creationId xmlns:a16="http://schemas.microsoft.com/office/drawing/2014/main" id="{C6F972D1-8844-4DBA-B641-A26D6B0D166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85" name="TextBox 12">
          <a:extLst>
            <a:ext uri="{FF2B5EF4-FFF2-40B4-BE49-F238E27FC236}">
              <a16:creationId xmlns:a16="http://schemas.microsoft.com/office/drawing/2014/main" id="{CDD5F49D-C060-4BE1-9060-7EF81E36A95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86" name="TextBox 9">
          <a:extLst>
            <a:ext uri="{FF2B5EF4-FFF2-40B4-BE49-F238E27FC236}">
              <a16:creationId xmlns:a16="http://schemas.microsoft.com/office/drawing/2014/main" id="{604FCDF1-B90B-43DE-8183-A3742ACFF9D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87" name="TextBox 10">
          <a:extLst>
            <a:ext uri="{FF2B5EF4-FFF2-40B4-BE49-F238E27FC236}">
              <a16:creationId xmlns:a16="http://schemas.microsoft.com/office/drawing/2014/main" id="{DF0192F3-4468-4578-80CB-A1C20C2308E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88" name="TextBox 11">
          <a:extLst>
            <a:ext uri="{FF2B5EF4-FFF2-40B4-BE49-F238E27FC236}">
              <a16:creationId xmlns:a16="http://schemas.microsoft.com/office/drawing/2014/main" id="{05F9F791-D74C-44AD-8034-A27119281F2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89" name="TextBox 12">
          <a:extLst>
            <a:ext uri="{FF2B5EF4-FFF2-40B4-BE49-F238E27FC236}">
              <a16:creationId xmlns:a16="http://schemas.microsoft.com/office/drawing/2014/main" id="{59831135-1FA9-4E1E-897F-A03C8E59722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90" name="TextBox 9">
          <a:extLst>
            <a:ext uri="{FF2B5EF4-FFF2-40B4-BE49-F238E27FC236}">
              <a16:creationId xmlns:a16="http://schemas.microsoft.com/office/drawing/2014/main" id="{DEDFDF7C-ADE7-40AE-B545-79AABDFBFAB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91" name="TextBox 10">
          <a:extLst>
            <a:ext uri="{FF2B5EF4-FFF2-40B4-BE49-F238E27FC236}">
              <a16:creationId xmlns:a16="http://schemas.microsoft.com/office/drawing/2014/main" id="{0C14F233-0056-4197-BC61-6CB62F90242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92" name="TextBox 11">
          <a:extLst>
            <a:ext uri="{FF2B5EF4-FFF2-40B4-BE49-F238E27FC236}">
              <a16:creationId xmlns:a16="http://schemas.microsoft.com/office/drawing/2014/main" id="{9E081A57-E6AC-46E8-B091-DF979ED5E09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293" name="TextBox 12">
          <a:extLst>
            <a:ext uri="{FF2B5EF4-FFF2-40B4-BE49-F238E27FC236}">
              <a16:creationId xmlns:a16="http://schemas.microsoft.com/office/drawing/2014/main" id="{D59367E0-B31C-423C-8831-E9D12DCCCE9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294" name="TextBox 13">
          <a:extLst>
            <a:ext uri="{FF2B5EF4-FFF2-40B4-BE49-F238E27FC236}">
              <a16:creationId xmlns:a16="http://schemas.microsoft.com/office/drawing/2014/main" id="{6D9CF2AE-F2D1-47BB-9D0D-24AF99BD2656}"/>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295" name="TextBox 14">
          <a:extLst>
            <a:ext uri="{FF2B5EF4-FFF2-40B4-BE49-F238E27FC236}">
              <a16:creationId xmlns:a16="http://schemas.microsoft.com/office/drawing/2014/main" id="{65A43855-F157-418D-A2C6-37AFD89373F2}"/>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296" name="TextBox 15">
          <a:extLst>
            <a:ext uri="{FF2B5EF4-FFF2-40B4-BE49-F238E27FC236}">
              <a16:creationId xmlns:a16="http://schemas.microsoft.com/office/drawing/2014/main" id="{41A58554-7E00-4ECA-A6D2-8A6519969471}"/>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297" name="TextBox 16">
          <a:extLst>
            <a:ext uri="{FF2B5EF4-FFF2-40B4-BE49-F238E27FC236}">
              <a16:creationId xmlns:a16="http://schemas.microsoft.com/office/drawing/2014/main" id="{B8CFF6F4-0B11-4ED5-B31E-E4FDBC6C741C}"/>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298" name="TextBox 21">
          <a:extLst>
            <a:ext uri="{FF2B5EF4-FFF2-40B4-BE49-F238E27FC236}">
              <a16:creationId xmlns:a16="http://schemas.microsoft.com/office/drawing/2014/main" id="{70256E9A-D0A1-4AF7-84F5-9AD08891F6F1}"/>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299" name="TextBox 22">
          <a:extLst>
            <a:ext uri="{FF2B5EF4-FFF2-40B4-BE49-F238E27FC236}">
              <a16:creationId xmlns:a16="http://schemas.microsoft.com/office/drawing/2014/main" id="{4F8A69A5-9F93-4713-962C-CA6C9209D943}"/>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00" name="TextBox 23">
          <a:extLst>
            <a:ext uri="{FF2B5EF4-FFF2-40B4-BE49-F238E27FC236}">
              <a16:creationId xmlns:a16="http://schemas.microsoft.com/office/drawing/2014/main" id="{97F4AF0F-FE73-437B-B87D-5D76CFA692D0}"/>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01" name="TextBox 24">
          <a:extLst>
            <a:ext uri="{FF2B5EF4-FFF2-40B4-BE49-F238E27FC236}">
              <a16:creationId xmlns:a16="http://schemas.microsoft.com/office/drawing/2014/main" id="{66ECEF5C-1134-4B81-AABB-8F2FAC4ECBD2}"/>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02" name="TextBox 29">
          <a:extLst>
            <a:ext uri="{FF2B5EF4-FFF2-40B4-BE49-F238E27FC236}">
              <a16:creationId xmlns:a16="http://schemas.microsoft.com/office/drawing/2014/main" id="{FB8B5FE8-8E63-46B1-8493-7D91831277F1}"/>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03" name="TextBox 30">
          <a:extLst>
            <a:ext uri="{FF2B5EF4-FFF2-40B4-BE49-F238E27FC236}">
              <a16:creationId xmlns:a16="http://schemas.microsoft.com/office/drawing/2014/main" id="{BA1FD471-1727-4A5F-BD40-6AE3E5D9AF54}"/>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04" name="TextBox 31">
          <a:extLst>
            <a:ext uri="{FF2B5EF4-FFF2-40B4-BE49-F238E27FC236}">
              <a16:creationId xmlns:a16="http://schemas.microsoft.com/office/drawing/2014/main" id="{383746FF-21DA-40CA-9BEE-304B150429C7}"/>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05" name="TextBox 32">
          <a:extLst>
            <a:ext uri="{FF2B5EF4-FFF2-40B4-BE49-F238E27FC236}">
              <a16:creationId xmlns:a16="http://schemas.microsoft.com/office/drawing/2014/main" id="{1E0298C1-F98F-4BE5-82A0-20FC395CE4B6}"/>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06" name="TextBox 21">
          <a:extLst>
            <a:ext uri="{FF2B5EF4-FFF2-40B4-BE49-F238E27FC236}">
              <a16:creationId xmlns:a16="http://schemas.microsoft.com/office/drawing/2014/main" id="{A4676AA9-6F24-480C-93A7-C7892BB47576}"/>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07" name="TextBox 22">
          <a:extLst>
            <a:ext uri="{FF2B5EF4-FFF2-40B4-BE49-F238E27FC236}">
              <a16:creationId xmlns:a16="http://schemas.microsoft.com/office/drawing/2014/main" id="{FCA845A8-17D1-4C09-A1FE-94CCBE00A45F}"/>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08" name="TextBox 23">
          <a:extLst>
            <a:ext uri="{FF2B5EF4-FFF2-40B4-BE49-F238E27FC236}">
              <a16:creationId xmlns:a16="http://schemas.microsoft.com/office/drawing/2014/main" id="{1A115D5C-ED5A-4E32-9209-4388F2CF6057}"/>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09" name="TextBox 24">
          <a:extLst>
            <a:ext uri="{FF2B5EF4-FFF2-40B4-BE49-F238E27FC236}">
              <a16:creationId xmlns:a16="http://schemas.microsoft.com/office/drawing/2014/main" id="{A2D4BCE1-1FEB-4B13-90F2-D2E64383988D}"/>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10" name="TextBox 29">
          <a:extLst>
            <a:ext uri="{FF2B5EF4-FFF2-40B4-BE49-F238E27FC236}">
              <a16:creationId xmlns:a16="http://schemas.microsoft.com/office/drawing/2014/main" id="{5F9266B2-1F69-4A85-9197-E85628275BEB}"/>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11" name="TextBox 30">
          <a:extLst>
            <a:ext uri="{FF2B5EF4-FFF2-40B4-BE49-F238E27FC236}">
              <a16:creationId xmlns:a16="http://schemas.microsoft.com/office/drawing/2014/main" id="{BA4C1F53-6A79-4FF1-90EF-1400FB8D8E70}"/>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12" name="TextBox 31">
          <a:extLst>
            <a:ext uri="{FF2B5EF4-FFF2-40B4-BE49-F238E27FC236}">
              <a16:creationId xmlns:a16="http://schemas.microsoft.com/office/drawing/2014/main" id="{6717F618-0C9F-4768-9904-318F7E59EBEA}"/>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13" name="TextBox 32">
          <a:extLst>
            <a:ext uri="{FF2B5EF4-FFF2-40B4-BE49-F238E27FC236}">
              <a16:creationId xmlns:a16="http://schemas.microsoft.com/office/drawing/2014/main" id="{D450D5AC-AA2F-4020-BAC6-56EB66AB0884}"/>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14" name="TextBox 9">
          <a:extLst>
            <a:ext uri="{FF2B5EF4-FFF2-40B4-BE49-F238E27FC236}">
              <a16:creationId xmlns:a16="http://schemas.microsoft.com/office/drawing/2014/main" id="{C0A2C066-644E-450A-B09C-900E1A3938A0}"/>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15" name="TextBox 10">
          <a:extLst>
            <a:ext uri="{FF2B5EF4-FFF2-40B4-BE49-F238E27FC236}">
              <a16:creationId xmlns:a16="http://schemas.microsoft.com/office/drawing/2014/main" id="{97E2800B-FE92-48A3-8B23-58BF24515438}"/>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16" name="TextBox 11">
          <a:extLst>
            <a:ext uri="{FF2B5EF4-FFF2-40B4-BE49-F238E27FC236}">
              <a16:creationId xmlns:a16="http://schemas.microsoft.com/office/drawing/2014/main" id="{D8C30C52-328E-4721-9CB3-52194FF844FB}"/>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17" name="TextBox 12">
          <a:extLst>
            <a:ext uri="{FF2B5EF4-FFF2-40B4-BE49-F238E27FC236}">
              <a16:creationId xmlns:a16="http://schemas.microsoft.com/office/drawing/2014/main" id="{DFD97495-8531-4798-8931-53055E616839}"/>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18" name="TextBox 9">
          <a:extLst>
            <a:ext uri="{FF2B5EF4-FFF2-40B4-BE49-F238E27FC236}">
              <a16:creationId xmlns:a16="http://schemas.microsoft.com/office/drawing/2014/main" id="{283DF067-2C29-4CFE-AEF3-A8100A43E554}"/>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19" name="TextBox 10">
          <a:extLst>
            <a:ext uri="{FF2B5EF4-FFF2-40B4-BE49-F238E27FC236}">
              <a16:creationId xmlns:a16="http://schemas.microsoft.com/office/drawing/2014/main" id="{026D0A6F-9558-4EFC-A586-474D245AA095}"/>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20" name="TextBox 11">
          <a:extLst>
            <a:ext uri="{FF2B5EF4-FFF2-40B4-BE49-F238E27FC236}">
              <a16:creationId xmlns:a16="http://schemas.microsoft.com/office/drawing/2014/main" id="{1C4C0F8C-D58E-4263-BAF7-3B7F213F7172}"/>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21" name="TextBox 12">
          <a:extLst>
            <a:ext uri="{FF2B5EF4-FFF2-40B4-BE49-F238E27FC236}">
              <a16:creationId xmlns:a16="http://schemas.microsoft.com/office/drawing/2014/main" id="{4EC66725-98F6-4D08-8FAF-48FF709F3F7F}"/>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22" name="TextBox 9">
          <a:extLst>
            <a:ext uri="{FF2B5EF4-FFF2-40B4-BE49-F238E27FC236}">
              <a16:creationId xmlns:a16="http://schemas.microsoft.com/office/drawing/2014/main" id="{737364F5-DDAF-413B-B00E-882CB2E9E5A6}"/>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23" name="TextBox 10">
          <a:extLst>
            <a:ext uri="{FF2B5EF4-FFF2-40B4-BE49-F238E27FC236}">
              <a16:creationId xmlns:a16="http://schemas.microsoft.com/office/drawing/2014/main" id="{42C15599-7CE2-4EE6-8EC6-ACDFF51CD591}"/>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24" name="TextBox 11">
          <a:extLst>
            <a:ext uri="{FF2B5EF4-FFF2-40B4-BE49-F238E27FC236}">
              <a16:creationId xmlns:a16="http://schemas.microsoft.com/office/drawing/2014/main" id="{102444FF-5EC3-41D4-B06A-87F2F862EF45}"/>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25" name="TextBox 12">
          <a:extLst>
            <a:ext uri="{FF2B5EF4-FFF2-40B4-BE49-F238E27FC236}">
              <a16:creationId xmlns:a16="http://schemas.microsoft.com/office/drawing/2014/main" id="{BF8AC077-2259-41DE-9D9E-0CF6AD65FBF9}"/>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26" name="TextBox 9">
          <a:extLst>
            <a:ext uri="{FF2B5EF4-FFF2-40B4-BE49-F238E27FC236}">
              <a16:creationId xmlns:a16="http://schemas.microsoft.com/office/drawing/2014/main" id="{8A699538-9030-463C-8CC7-449841CFBA31}"/>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27" name="TextBox 10">
          <a:extLst>
            <a:ext uri="{FF2B5EF4-FFF2-40B4-BE49-F238E27FC236}">
              <a16:creationId xmlns:a16="http://schemas.microsoft.com/office/drawing/2014/main" id="{A58C797A-1D08-40E7-9CA9-0D1738655524}"/>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28" name="TextBox 11">
          <a:extLst>
            <a:ext uri="{FF2B5EF4-FFF2-40B4-BE49-F238E27FC236}">
              <a16:creationId xmlns:a16="http://schemas.microsoft.com/office/drawing/2014/main" id="{71FCB1C4-5BEF-4D2E-9F39-E73570284A2D}"/>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29" name="TextBox 12">
          <a:extLst>
            <a:ext uri="{FF2B5EF4-FFF2-40B4-BE49-F238E27FC236}">
              <a16:creationId xmlns:a16="http://schemas.microsoft.com/office/drawing/2014/main" id="{4C99E298-54EA-40F8-9EBB-71628840210F}"/>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30" name="TextBox 9">
          <a:extLst>
            <a:ext uri="{FF2B5EF4-FFF2-40B4-BE49-F238E27FC236}">
              <a16:creationId xmlns:a16="http://schemas.microsoft.com/office/drawing/2014/main" id="{87CEBD17-955E-40C5-A6D6-0B67E8487990}"/>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31" name="TextBox 10">
          <a:extLst>
            <a:ext uri="{FF2B5EF4-FFF2-40B4-BE49-F238E27FC236}">
              <a16:creationId xmlns:a16="http://schemas.microsoft.com/office/drawing/2014/main" id="{5DE1FD56-320D-4E15-A053-66D18ECD9149}"/>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32" name="TextBox 11">
          <a:extLst>
            <a:ext uri="{FF2B5EF4-FFF2-40B4-BE49-F238E27FC236}">
              <a16:creationId xmlns:a16="http://schemas.microsoft.com/office/drawing/2014/main" id="{C51D0833-673B-460F-8617-CC14ABBD2400}"/>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33" name="TextBox 12">
          <a:extLst>
            <a:ext uri="{FF2B5EF4-FFF2-40B4-BE49-F238E27FC236}">
              <a16:creationId xmlns:a16="http://schemas.microsoft.com/office/drawing/2014/main" id="{6ACE16B5-145B-4A7A-A1DF-43FAFC1DC896}"/>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34" name="TextBox 9">
          <a:extLst>
            <a:ext uri="{FF2B5EF4-FFF2-40B4-BE49-F238E27FC236}">
              <a16:creationId xmlns:a16="http://schemas.microsoft.com/office/drawing/2014/main" id="{55E2FB85-C187-4DCE-8F5B-992CB3462703}"/>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35" name="TextBox 10">
          <a:extLst>
            <a:ext uri="{FF2B5EF4-FFF2-40B4-BE49-F238E27FC236}">
              <a16:creationId xmlns:a16="http://schemas.microsoft.com/office/drawing/2014/main" id="{35E1F4AE-D14F-422D-BD4E-DEB020262DE5}"/>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36" name="TextBox 11">
          <a:extLst>
            <a:ext uri="{FF2B5EF4-FFF2-40B4-BE49-F238E27FC236}">
              <a16:creationId xmlns:a16="http://schemas.microsoft.com/office/drawing/2014/main" id="{BA1EB37D-056A-40BA-B280-792F90497D02}"/>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37" name="TextBox 12">
          <a:extLst>
            <a:ext uri="{FF2B5EF4-FFF2-40B4-BE49-F238E27FC236}">
              <a16:creationId xmlns:a16="http://schemas.microsoft.com/office/drawing/2014/main" id="{CD6FEC92-D501-4CD8-9D7E-1F5692EEAC41}"/>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38" name="TextBox 9">
          <a:extLst>
            <a:ext uri="{FF2B5EF4-FFF2-40B4-BE49-F238E27FC236}">
              <a16:creationId xmlns:a16="http://schemas.microsoft.com/office/drawing/2014/main" id="{CE3DC369-7D8C-40EB-9244-4DAD32C60B2C}"/>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39" name="TextBox 10">
          <a:extLst>
            <a:ext uri="{FF2B5EF4-FFF2-40B4-BE49-F238E27FC236}">
              <a16:creationId xmlns:a16="http://schemas.microsoft.com/office/drawing/2014/main" id="{F4511F3A-8DA9-44B6-8CE7-F2DD203EB43D}"/>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40" name="TextBox 11">
          <a:extLst>
            <a:ext uri="{FF2B5EF4-FFF2-40B4-BE49-F238E27FC236}">
              <a16:creationId xmlns:a16="http://schemas.microsoft.com/office/drawing/2014/main" id="{74C81599-7ADF-490C-BC11-7A78A9F186F2}"/>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41" name="TextBox 12">
          <a:extLst>
            <a:ext uri="{FF2B5EF4-FFF2-40B4-BE49-F238E27FC236}">
              <a16:creationId xmlns:a16="http://schemas.microsoft.com/office/drawing/2014/main" id="{E2292205-2C33-49CA-92CC-FCBD3702CB19}"/>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42" name="TextBox 9">
          <a:extLst>
            <a:ext uri="{FF2B5EF4-FFF2-40B4-BE49-F238E27FC236}">
              <a16:creationId xmlns:a16="http://schemas.microsoft.com/office/drawing/2014/main" id="{E9A4D93C-F68D-41D9-8D92-1471BB3522AC}"/>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43" name="TextBox 10">
          <a:extLst>
            <a:ext uri="{FF2B5EF4-FFF2-40B4-BE49-F238E27FC236}">
              <a16:creationId xmlns:a16="http://schemas.microsoft.com/office/drawing/2014/main" id="{60B71326-8EC3-4858-8D6E-25D30B2B997B}"/>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44" name="TextBox 11">
          <a:extLst>
            <a:ext uri="{FF2B5EF4-FFF2-40B4-BE49-F238E27FC236}">
              <a16:creationId xmlns:a16="http://schemas.microsoft.com/office/drawing/2014/main" id="{F33AB8B9-C891-4137-8978-F7FB689F5063}"/>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45" name="TextBox 12">
          <a:extLst>
            <a:ext uri="{FF2B5EF4-FFF2-40B4-BE49-F238E27FC236}">
              <a16:creationId xmlns:a16="http://schemas.microsoft.com/office/drawing/2014/main" id="{418E065B-9BC7-46BB-BFF5-287FECF5BD30}"/>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46" name="TextBox 13">
          <a:extLst>
            <a:ext uri="{FF2B5EF4-FFF2-40B4-BE49-F238E27FC236}">
              <a16:creationId xmlns:a16="http://schemas.microsoft.com/office/drawing/2014/main" id="{56112CE9-77B7-4D4D-A875-70B2E299B00B}"/>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47" name="TextBox 14">
          <a:extLst>
            <a:ext uri="{FF2B5EF4-FFF2-40B4-BE49-F238E27FC236}">
              <a16:creationId xmlns:a16="http://schemas.microsoft.com/office/drawing/2014/main" id="{740EB4B4-E135-4231-A10C-A458D156C121}"/>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48" name="TextBox 15">
          <a:extLst>
            <a:ext uri="{FF2B5EF4-FFF2-40B4-BE49-F238E27FC236}">
              <a16:creationId xmlns:a16="http://schemas.microsoft.com/office/drawing/2014/main" id="{958FA9A9-0EC5-4AFC-8339-03DAB8B33091}"/>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49" name="TextBox 16">
          <a:extLst>
            <a:ext uri="{FF2B5EF4-FFF2-40B4-BE49-F238E27FC236}">
              <a16:creationId xmlns:a16="http://schemas.microsoft.com/office/drawing/2014/main" id="{E61F18CD-B749-4880-BF52-7AD8876F5A0B}"/>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50" name="TextBox 21">
          <a:extLst>
            <a:ext uri="{FF2B5EF4-FFF2-40B4-BE49-F238E27FC236}">
              <a16:creationId xmlns:a16="http://schemas.microsoft.com/office/drawing/2014/main" id="{8F79C9E6-EC82-4E94-AB50-1F32958A0635}"/>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51" name="TextBox 22">
          <a:extLst>
            <a:ext uri="{FF2B5EF4-FFF2-40B4-BE49-F238E27FC236}">
              <a16:creationId xmlns:a16="http://schemas.microsoft.com/office/drawing/2014/main" id="{9A99F381-6867-4455-87F3-1404B4561B5B}"/>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52" name="TextBox 23">
          <a:extLst>
            <a:ext uri="{FF2B5EF4-FFF2-40B4-BE49-F238E27FC236}">
              <a16:creationId xmlns:a16="http://schemas.microsoft.com/office/drawing/2014/main" id="{5CC26551-845C-498B-9DA8-3055A0EA066C}"/>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53" name="TextBox 24">
          <a:extLst>
            <a:ext uri="{FF2B5EF4-FFF2-40B4-BE49-F238E27FC236}">
              <a16:creationId xmlns:a16="http://schemas.microsoft.com/office/drawing/2014/main" id="{3DCE9782-3CA1-441A-B593-2DCEE801DBBE}"/>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54" name="TextBox 29">
          <a:extLst>
            <a:ext uri="{FF2B5EF4-FFF2-40B4-BE49-F238E27FC236}">
              <a16:creationId xmlns:a16="http://schemas.microsoft.com/office/drawing/2014/main" id="{A625BBCF-7F37-4C46-91AD-2E787EAEE44C}"/>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55" name="TextBox 30">
          <a:extLst>
            <a:ext uri="{FF2B5EF4-FFF2-40B4-BE49-F238E27FC236}">
              <a16:creationId xmlns:a16="http://schemas.microsoft.com/office/drawing/2014/main" id="{BAB798E0-879A-4887-9200-392AA1316421}"/>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56" name="TextBox 31">
          <a:extLst>
            <a:ext uri="{FF2B5EF4-FFF2-40B4-BE49-F238E27FC236}">
              <a16:creationId xmlns:a16="http://schemas.microsoft.com/office/drawing/2014/main" id="{05C6E72A-674C-4E4E-8023-45972041AF3D}"/>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57" name="TextBox 32">
          <a:extLst>
            <a:ext uri="{FF2B5EF4-FFF2-40B4-BE49-F238E27FC236}">
              <a16:creationId xmlns:a16="http://schemas.microsoft.com/office/drawing/2014/main" id="{556F1C5D-BD86-4F6A-8F55-8A389A0E2DC0}"/>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58" name="TextBox 21">
          <a:extLst>
            <a:ext uri="{FF2B5EF4-FFF2-40B4-BE49-F238E27FC236}">
              <a16:creationId xmlns:a16="http://schemas.microsoft.com/office/drawing/2014/main" id="{624ADF59-4027-4492-953E-67F8BB94375E}"/>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59" name="TextBox 22">
          <a:extLst>
            <a:ext uri="{FF2B5EF4-FFF2-40B4-BE49-F238E27FC236}">
              <a16:creationId xmlns:a16="http://schemas.microsoft.com/office/drawing/2014/main" id="{1D808FB1-F870-44B0-81FE-0BC800F638ED}"/>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60" name="TextBox 23">
          <a:extLst>
            <a:ext uri="{FF2B5EF4-FFF2-40B4-BE49-F238E27FC236}">
              <a16:creationId xmlns:a16="http://schemas.microsoft.com/office/drawing/2014/main" id="{3E1BEC21-07A4-4715-AAA7-3A500D5CA616}"/>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61" name="TextBox 24">
          <a:extLst>
            <a:ext uri="{FF2B5EF4-FFF2-40B4-BE49-F238E27FC236}">
              <a16:creationId xmlns:a16="http://schemas.microsoft.com/office/drawing/2014/main" id="{38F69DA5-B08D-43EE-A04B-823C67C73D96}"/>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62" name="TextBox 29">
          <a:extLst>
            <a:ext uri="{FF2B5EF4-FFF2-40B4-BE49-F238E27FC236}">
              <a16:creationId xmlns:a16="http://schemas.microsoft.com/office/drawing/2014/main" id="{A646A792-5C62-4934-9146-01D17B58441F}"/>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63" name="TextBox 30">
          <a:extLst>
            <a:ext uri="{FF2B5EF4-FFF2-40B4-BE49-F238E27FC236}">
              <a16:creationId xmlns:a16="http://schemas.microsoft.com/office/drawing/2014/main" id="{0D9637A5-68E4-4047-A294-743E1D4B94DF}"/>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64" name="TextBox 31">
          <a:extLst>
            <a:ext uri="{FF2B5EF4-FFF2-40B4-BE49-F238E27FC236}">
              <a16:creationId xmlns:a16="http://schemas.microsoft.com/office/drawing/2014/main" id="{B01C32CE-9AD1-4954-AE0F-1F9581E7836B}"/>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65" name="TextBox 32">
          <a:extLst>
            <a:ext uri="{FF2B5EF4-FFF2-40B4-BE49-F238E27FC236}">
              <a16:creationId xmlns:a16="http://schemas.microsoft.com/office/drawing/2014/main" id="{04E7B3EB-48BF-40FA-AE04-45DBE2C87836}"/>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66" name="TextBox 9">
          <a:extLst>
            <a:ext uri="{FF2B5EF4-FFF2-40B4-BE49-F238E27FC236}">
              <a16:creationId xmlns:a16="http://schemas.microsoft.com/office/drawing/2014/main" id="{28C00479-9C15-468E-9E75-ABDA2518EF6D}"/>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67" name="TextBox 10">
          <a:extLst>
            <a:ext uri="{FF2B5EF4-FFF2-40B4-BE49-F238E27FC236}">
              <a16:creationId xmlns:a16="http://schemas.microsoft.com/office/drawing/2014/main" id="{993F08B0-58A8-4229-9E94-4E3FA9C750AB}"/>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68" name="TextBox 11">
          <a:extLst>
            <a:ext uri="{FF2B5EF4-FFF2-40B4-BE49-F238E27FC236}">
              <a16:creationId xmlns:a16="http://schemas.microsoft.com/office/drawing/2014/main" id="{679379D4-A447-4B64-93DD-78E8CC71CBDC}"/>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69" name="TextBox 12">
          <a:extLst>
            <a:ext uri="{FF2B5EF4-FFF2-40B4-BE49-F238E27FC236}">
              <a16:creationId xmlns:a16="http://schemas.microsoft.com/office/drawing/2014/main" id="{54A05D91-309B-4F9F-A757-439C23E6EDF1}"/>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70" name="TextBox 9">
          <a:extLst>
            <a:ext uri="{FF2B5EF4-FFF2-40B4-BE49-F238E27FC236}">
              <a16:creationId xmlns:a16="http://schemas.microsoft.com/office/drawing/2014/main" id="{FFABA79D-C7B3-4477-A380-3D15DC852357}"/>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71" name="TextBox 10">
          <a:extLst>
            <a:ext uri="{FF2B5EF4-FFF2-40B4-BE49-F238E27FC236}">
              <a16:creationId xmlns:a16="http://schemas.microsoft.com/office/drawing/2014/main" id="{A10F4559-49CD-4F74-A263-2F1FA7D946A3}"/>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72" name="TextBox 11">
          <a:extLst>
            <a:ext uri="{FF2B5EF4-FFF2-40B4-BE49-F238E27FC236}">
              <a16:creationId xmlns:a16="http://schemas.microsoft.com/office/drawing/2014/main" id="{0F773828-53A5-420C-A615-C2BE70A10EA1}"/>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73" name="TextBox 12">
          <a:extLst>
            <a:ext uri="{FF2B5EF4-FFF2-40B4-BE49-F238E27FC236}">
              <a16:creationId xmlns:a16="http://schemas.microsoft.com/office/drawing/2014/main" id="{87227051-D5B6-4F9B-9348-9481AFB6A53E}"/>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74" name="TextBox 9">
          <a:extLst>
            <a:ext uri="{FF2B5EF4-FFF2-40B4-BE49-F238E27FC236}">
              <a16:creationId xmlns:a16="http://schemas.microsoft.com/office/drawing/2014/main" id="{AF6912A8-7F90-4FE1-9382-2D9C2D434D6E}"/>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75" name="TextBox 10">
          <a:extLst>
            <a:ext uri="{FF2B5EF4-FFF2-40B4-BE49-F238E27FC236}">
              <a16:creationId xmlns:a16="http://schemas.microsoft.com/office/drawing/2014/main" id="{A8C4F4D5-D90D-4858-B008-C3A7C510B234}"/>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76" name="TextBox 11">
          <a:extLst>
            <a:ext uri="{FF2B5EF4-FFF2-40B4-BE49-F238E27FC236}">
              <a16:creationId xmlns:a16="http://schemas.microsoft.com/office/drawing/2014/main" id="{C61A5F98-8FF7-4C17-914F-CC4D997B23F6}"/>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77" name="TextBox 12">
          <a:extLst>
            <a:ext uri="{FF2B5EF4-FFF2-40B4-BE49-F238E27FC236}">
              <a16:creationId xmlns:a16="http://schemas.microsoft.com/office/drawing/2014/main" id="{98F0A760-47CA-4B0F-A946-0E3C739797E1}"/>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78" name="TextBox 9">
          <a:extLst>
            <a:ext uri="{FF2B5EF4-FFF2-40B4-BE49-F238E27FC236}">
              <a16:creationId xmlns:a16="http://schemas.microsoft.com/office/drawing/2014/main" id="{35BD0251-0367-48C8-AE8B-C1DA1A620DE3}"/>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79" name="TextBox 10">
          <a:extLst>
            <a:ext uri="{FF2B5EF4-FFF2-40B4-BE49-F238E27FC236}">
              <a16:creationId xmlns:a16="http://schemas.microsoft.com/office/drawing/2014/main" id="{12220D5F-4211-4D88-98BD-5BE759BE3874}"/>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80" name="TextBox 11">
          <a:extLst>
            <a:ext uri="{FF2B5EF4-FFF2-40B4-BE49-F238E27FC236}">
              <a16:creationId xmlns:a16="http://schemas.microsoft.com/office/drawing/2014/main" id="{CBD312DC-E3F9-42C7-AC11-681F25CF1FAB}"/>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81" name="TextBox 12">
          <a:extLst>
            <a:ext uri="{FF2B5EF4-FFF2-40B4-BE49-F238E27FC236}">
              <a16:creationId xmlns:a16="http://schemas.microsoft.com/office/drawing/2014/main" id="{A76E55A8-DB68-4218-8997-AABC9ECA6CE4}"/>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82" name="TextBox 9">
          <a:extLst>
            <a:ext uri="{FF2B5EF4-FFF2-40B4-BE49-F238E27FC236}">
              <a16:creationId xmlns:a16="http://schemas.microsoft.com/office/drawing/2014/main" id="{CFAF59D8-E8F5-437B-8F9A-B756801713EC}"/>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83" name="TextBox 10">
          <a:extLst>
            <a:ext uri="{FF2B5EF4-FFF2-40B4-BE49-F238E27FC236}">
              <a16:creationId xmlns:a16="http://schemas.microsoft.com/office/drawing/2014/main" id="{ADCDB1BC-9DB9-4859-B89F-5DA04BCF7C2E}"/>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84" name="TextBox 11">
          <a:extLst>
            <a:ext uri="{FF2B5EF4-FFF2-40B4-BE49-F238E27FC236}">
              <a16:creationId xmlns:a16="http://schemas.microsoft.com/office/drawing/2014/main" id="{9FA5E95C-317A-4C94-8536-3C1DC2A5BBFF}"/>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85" name="TextBox 12">
          <a:extLst>
            <a:ext uri="{FF2B5EF4-FFF2-40B4-BE49-F238E27FC236}">
              <a16:creationId xmlns:a16="http://schemas.microsoft.com/office/drawing/2014/main" id="{9812096E-28CE-4FEF-B382-6BB5013BA91E}"/>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86" name="TextBox 9">
          <a:extLst>
            <a:ext uri="{FF2B5EF4-FFF2-40B4-BE49-F238E27FC236}">
              <a16:creationId xmlns:a16="http://schemas.microsoft.com/office/drawing/2014/main" id="{542A9759-33DA-40A5-89C0-F4CEFA803766}"/>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87" name="TextBox 10">
          <a:extLst>
            <a:ext uri="{FF2B5EF4-FFF2-40B4-BE49-F238E27FC236}">
              <a16:creationId xmlns:a16="http://schemas.microsoft.com/office/drawing/2014/main" id="{4A16A0F6-C9DA-48A2-B450-6201B3DC36B9}"/>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88" name="TextBox 11">
          <a:extLst>
            <a:ext uri="{FF2B5EF4-FFF2-40B4-BE49-F238E27FC236}">
              <a16:creationId xmlns:a16="http://schemas.microsoft.com/office/drawing/2014/main" id="{F6E9CFC9-34B0-4F35-B9A9-06EE53DA7ECD}"/>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89" name="TextBox 12">
          <a:extLst>
            <a:ext uri="{FF2B5EF4-FFF2-40B4-BE49-F238E27FC236}">
              <a16:creationId xmlns:a16="http://schemas.microsoft.com/office/drawing/2014/main" id="{67508CE3-6C3D-4B77-9FC5-EAE346BFEA80}"/>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90" name="TextBox 9">
          <a:extLst>
            <a:ext uri="{FF2B5EF4-FFF2-40B4-BE49-F238E27FC236}">
              <a16:creationId xmlns:a16="http://schemas.microsoft.com/office/drawing/2014/main" id="{C6C3FAC9-F46B-4B68-85EC-D64C7ADA065F}"/>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91" name="TextBox 10">
          <a:extLst>
            <a:ext uri="{FF2B5EF4-FFF2-40B4-BE49-F238E27FC236}">
              <a16:creationId xmlns:a16="http://schemas.microsoft.com/office/drawing/2014/main" id="{05691E98-E1DF-4129-9564-E9911B6731E4}"/>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92" name="TextBox 11">
          <a:extLst>
            <a:ext uri="{FF2B5EF4-FFF2-40B4-BE49-F238E27FC236}">
              <a16:creationId xmlns:a16="http://schemas.microsoft.com/office/drawing/2014/main" id="{5C3FCA51-AEA4-428B-9E5F-EFEED88D3720}"/>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93" name="TextBox 12">
          <a:extLst>
            <a:ext uri="{FF2B5EF4-FFF2-40B4-BE49-F238E27FC236}">
              <a16:creationId xmlns:a16="http://schemas.microsoft.com/office/drawing/2014/main" id="{1CC0E09F-1DAA-45C6-901D-D98F82D2E4FD}"/>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94" name="TextBox 9">
          <a:extLst>
            <a:ext uri="{FF2B5EF4-FFF2-40B4-BE49-F238E27FC236}">
              <a16:creationId xmlns:a16="http://schemas.microsoft.com/office/drawing/2014/main" id="{7D5CBB9E-11D2-41C1-8646-CC903BB56075}"/>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95" name="TextBox 10">
          <a:extLst>
            <a:ext uri="{FF2B5EF4-FFF2-40B4-BE49-F238E27FC236}">
              <a16:creationId xmlns:a16="http://schemas.microsoft.com/office/drawing/2014/main" id="{05473EC8-01B7-4067-A8A3-27CDF0FF5E90}"/>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96" name="TextBox 11">
          <a:extLst>
            <a:ext uri="{FF2B5EF4-FFF2-40B4-BE49-F238E27FC236}">
              <a16:creationId xmlns:a16="http://schemas.microsoft.com/office/drawing/2014/main" id="{D8C1057E-91BF-4AA2-B789-6558C6B80117}"/>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31</xdr:row>
      <xdr:rowOff>0</xdr:rowOff>
    </xdr:from>
    <xdr:ext cx="211121" cy="277158"/>
    <xdr:sp macro="" textlink="">
      <xdr:nvSpPr>
        <xdr:cNvPr id="397" name="TextBox 12">
          <a:extLst>
            <a:ext uri="{FF2B5EF4-FFF2-40B4-BE49-F238E27FC236}">
              <a16:creationId xmlns:a16="http://schemas.microsoft.com/office/drawing/2014/main" id="{9E2B33A2-F626-495D-8099-7064990C29EA}"/>
            </a:ext>
          </a:extLst>
        </xdr:cNvPr>
        <xdr:cNvSpPr txBox="1"/>
      </xdr:nvSpPr>
      <xdr:spPr>
        <a:xfrm>
          <a:off x="7058025" y="3887152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398" name="TextBox 9">
          <a:extLst>
            <a:ext uri="{FF2B5EF4-FFF2-40B4-BE49-F238E27FC236}">
              <a16:creationId xmlns:a16="http://schemas.microsoft.com/office/drawing/2014/main" id="{E7D309A1-2CAD-48B9-BF0E-ED16FEC2877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399" name="TextBox 10">
          <a:extLst>
            <a:ext uri="{FF2B5EF4-FFF2-40B4-BE49-F238E27FC236}">
              <a16:creationId xmlns:a16="http://schemas.microsoft.com/office/drawing/2014/main" id="{19BFC18F-3F0A-412C-80E0-27C17A94C5A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00" name="TextBox 11">
          <a:extLst>
            <a:ext uri="{FF2B5EF4-FFF2-40B4-BE49-F238E27FC236}">
              <a16:creationId xmlns:a16="http://schemas.microsoft.com/office/drawing/2014/main" id="{33D21383-B614-4385-9E15-064DBBA68CF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01" name="TextBox 12">
          <a:extLst>
            <a:ext uri="{FF2B5EF4-FFF2-40B4-BE49-F238E27FC236}">
              <a16:creationId xmlns:a16="http://schemas.microsoft.com/office/drawing/2014/main" id="{7A2A507D-DDA9-4800-956C-BA73D40F337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02" name="TextBox 9">
          <a:extLst>
            <a:ext uri="{FF2B5EF4-FFF2-40B4-BE49-F238E27FC236}">
              <a16:creationId xmlns:a16="http://schemas.microsoft.com/office/drawing/2014/main" id="{ACF0067D-B993-4115-B8EE-107BDC66FEA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03" name="TextBox 10">
          <a:extLst>
            <a:ext uri="{FF2B5EF4-FFF2-40B4-BE49-F238E27FC236}">
              <a16:creationId xmlns:a16="http://schemas.microsoft.com/office/drawing/2014/main" id="{AF1723BA-E2D1-4339-92B1-D77D423CDCB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04" name="TextBox 11">
          <a:extLst>
            <a:ext uri="{FF2B5EF4-FFF2-40B4-BE49-F238E27FC236}">
              <a16:creationId xmlns:a16="http://schemas.microsoft.com/office/drawing/2014/main" id="{27B63659-D8DB-49E4-98BB-ABF205E7BC0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05" name="TextBox 12">
          <a:extLst>
            <a:ext uri="{FF2B5EF4-FFF2-40B4-BE49-F238E27FC236}">
              <a16:creationId xmlns:a16="http://schemas.microsoft.com/office/drawing/2014/main" id="{246D8E5A-A2B8-4239-96F0-FCFE8F23394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06" name="TextBox 13">
          <a:extLst>
            <a:ext uri="{FF2B5EF4-FFF2-40B4-BE49-F238E27FC236}">
              <a16:creationId xmlns:a16="http://schemas.microsoft.com/office/drawing/2014/main" id="{AABD2CBE-A82E-434B-BA22-F3C44C6AB41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07" name="TextBox 14">
          <a:extLst>
            <a:ext uri="{FF2B5EF4-FFF2-40B4-BE49-F238E27FC236}">
              <a16:creationId xmlns:a16="http://schemas.microsoft.com/office/drawing/2014/main" id="{5BFB8A6A-6CE1-4AA5-A241-3DE4F1F3910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08" name="TextBox 15">
          <a:extLst>
            <a:ext uri="{FF2B5EF4-FFF2-40B4-BE49-F238E27FC236}">
              <a16:creationId xmlns:a16="http://schemas.microsoft.com/office/drawing/2014/main" id="{B20D3B83-8BB0-442B-B4D8-6833D44D54B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09" name="TextBox 16">
          <a:extLst>
            <a:ext uri="{FF2B5EF4-FFF2-40B4-BE49-F238E27FC236}">
              <a16:creationId xmlns:a16="http://schemas.microsoft.com/office/drawing/2014/main" id="{5045D8E2-E2C3-4F45-B959-00997AE90E0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10" name="TextBox 21">
          <a:extLst>
            <a:ext uri="{FF2B5EF4-FFF2-40B4-BE49-F238E27FC236}">
              <a16:creationId xmlns:a16="http://schemas.microsoft.com/office/drawing/2014/main" id="{18C81AAC-D1C5-402B-85A6-CAC255E580B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11" name="TextBox 22">
          <a:extLst>
            <a:ext uri="{FF2B5EF4-FFF2-40B4-BE49-F238E27FC236}">
              <a16:creationId xmlns:a16="http://schemas.microsoft.com/office/drawing/2014/main" id="{6C70E9B8-71A1-40F3-B84E-F5BA998C281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12" name="TextBox 23">
          <a:extLst>
            <a:ext uri="{FF2B5EF4-FFF2-40B4-BE49-F238E27FC236}">
              <a16:creationId xmlns:a16="http://schemas.microsoft.com/office/drawing/2014/main" id="{9C79E6A6-3C2D-4337-BE62-9E003ACA41F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13" name="TextBox 24">
          <a:extLst>
            <a:ext uri="{FF2B5EF4-FFF2-40B4-BE49-F238E27FC236}">
              <a16:creationId xmlns:a16="http://schemas.microsoft.com/office/drawing/2014/main" id="{A3C56B14-0288-4323-AEAC-1E5F4354357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14" name="TextBox 29">
          <a:extLst>
            <a:ext uri="{FF2B5EF4-FFF2-40B4-BE49-F238E27FC236}">
              <a16:creationId xmlns:a16="http://schemas.microsoft.com/office/drawing/2014/main" id="{99C777FC-27E5-42C0-AF2B-958BFDC784A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15" name="TextBox 30">
          <a:extLst>
            <a:ext uri="{FF2B5EF4-FFF2-40B4-BE49-F238E27FC236}">
              <a16:creationId xmlns:a16="http://schemas.microsoft.com/office/drawing/2014/main" id="{E6E26588-1EFE-422D-AC4D-0C38A1B7E5C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16" name="TextBox 31">
          <a:extLst>
            <a:ext uri="{FF2B5EF4-FFF2-40B4-BE49-F238E27FC236}">
              <a16:creationId xmlns:a16="http://schemas.microsoft.com/office/drawing/2014/main" id="{20D9CB55-9E89-4CE4-87EC-236E53056F6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17" name="TextBox 32">
          <a:extLst>
            <a:ext uri="{FF2B5EF4-FFF2-40B4-BE49-F238E27FC236}">
              <a16:creationId xmlns:a16="http://schemas.microsoft.com/office/drawing/2014/main" id="{DA29C875-830B-44F2-BA59-C1BFAFE9EF4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18" name="TextBox 21">
          <a:extLst>
            <a:ext uri="{FF2B5EF4-FFF2-40B4-BE49-F238E27FC236}">
              <a16:creationId xmlns:a16="http://schemas.microsoft.com/office/drawing/2014/main" id="{AC98D95E-A6AE-45DE-A1D6-646A05C4FD1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19" name="TextBox 22">
          <a:extLst>
            <a:ext uri="{FF2B5EF4-FFF2-40B4-BE49-F238E27FC236}">
              <a16:creationId xmlns:a16="http://schemas.microsoft.com/office/drawing/2014/main" id="{2BDAEDF4-EF41-4D0A-A7AF-2A53C3EB913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20" name="TextBox 23">
          <a:extLst>
            <a:ext uri="{FF2B5EF4-FFF2-40B4-BE49-F238E27FC236}">
              <a16:creationId xmlns:a16="http://schemas.microsoft.com/office/drawing/2014/main" id="{D261EA99-57B7-488F-B481-661DB01354C9}"/>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21" name="TextBox 24">
          <a:extLst>
            <a:ext uri="{FF2B5EF4-FFF2-40B4-BE49-F238E27FC236}">
              <a16:creationId xmlns:a16="http://schemas.microsoft.com/office/drawing/2014/main" id="{5DFA1A94-A1AF-45D9-82D8-FB7CFE94A7C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22" name="TextBox 29">
          <a:extLst>
            <a:ext uri="{FF2B5EF4-FFF2-40B4-BE49-F238E27FC236}">
              <a16:creationId xmlns:a16="http://schemas.microsoft.com/office/drawing/2014/main" id="{22003A30-4D19-4F5B-BF11-06E1913DA5A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23" name="TextBox 30">
          <a:extLst>
            <a:ext uri="{FF2B5EF4-FFF2-40B4-BE49-F238E27FC236}">
              <a16:creationId xmlns:a16="http://schemas.microsoft.com/office/drawing/2014/main" id="{1DA230B6-25E7-452F-A423-62F22B78390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24" name="TextBox 31">
          <a:extLst>
            <a:ext uri="{FF2B5EF4-FFF2-40B4-BE49-F238E27FC236}">
              <a16:creationId xmlns:a16="http://schemas.microsoft.com/office/drawing/2014/main" id="{7C19257B-8BFB-4DF1-8F6B-F0FD6516BC69}"/>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25" name="TextBox 32">
          <a:extLst>
            <a:ext uri="{FF2B5EF4-FFF2-40B4-BE49-F238E27FC236}">
              <a16:creationId xmlns:a16="http://schemas.microsoft.com/office/drawing/2014/main" id="{E9E04EC9-474A-4105-B1FB-EC456417717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26" name="TextBox 9">
          <a:extLst>
            <a:ext uri="{FF2B5EF4-FFF2-40B4-BE49-F238E27FC236}">
              <a16:creationId xmlns:a16="http://schemas.microsoft.com/office/drawing/2014/main" id="{08AB62C1-303B-44B3-9A92-24D0F39BF2D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27" name="TextBox 10">
          <a:extLst>
            <a:ext uri="{FF2B5EF4-FFF2-40B4-BE49-F238E27FC236}">
              <a16:creationId xmlns:a16="http://schemas.microsoft.com/office/drawing/2014/main" id="{069CD736-7CEA-4C07-A918-3F08E5D68E57}"/>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28" name="TextBox 11">
          <a:extLst>
            <a:ext uri="{FF2B5EF4-FFF2-40B4-BE49-F238E27FC236}">
              <a16:creationId xmlns:a16="http://schemas.microsoft.com/office/drawing/2014/main" id="{FAFD98C6-B5C3-4116-9A19-9327CE39DEC8}"/>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29" name="TextBox 12">
          <a:extLst>
            <a:ext uri="{FF2B5EF4-FFF2-40B4-BE49-F238E27FC236}">
              <a16:creationId xmlns:a16="http://schemas.microsoft.com/office/drawing/2014/main" id="{9CE6704C-B082-4273-9DFF-0205B80CD25D}"/>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30" name="TextBox 9">
          <a:extLst>
            <a:ext uri="{FF2B5EF4-FFF2-40B4-BE49-F238E27FC236}">
              <a16:creationId xmlns:a16="http://schemas.microsoft.com/office/drawing/2014/main" id="{B7704042-325A-419B-BB5D-D342B304DEB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31" name="TextBox 10">
          <a:extLst>
            <a:ext uri="{FF2B5EF4-FFF2-40B4-BE49-F238E27FC236}">
              <a16:creationId xmlns:a16="http://schemas.microsoft.com/office/drawing/2014/main" id="{A11FD51D-4ADC-4829-8C0D-DFF7EC10C4B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32" name="TextBox 11">
          <a:extLst>
            <a:ext uri="{FF2B5EF4-FFF2-40B4-BE49-F238E27FC236}">
              <a16:creationId xmlns:a16="http://schemas.microsoft.com/office/drawing/2014/main" id="{B0DD061E-9D48-4081-B46B-036C3ED34B9D}"/>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33" name="TextBox 12">
          <a:extLst>
            <a:ext uri="{FF2B5EF4-FFF2-40B4-BE49-F238E27FC236}">
              <a16:creationId xmlns:a16="http://schemas.microsoft.com/office/drawing/2014/main" id="{AF9B914C-86A0-45C0-8D2A-1EF605D4C8B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34" name="TextBox 9">
          <a:extLst>
            <a:ext uri="{FF2B5EF4-FFF2-40B4-BE49-F238E27FC236}">
              <a16:creationId xmlns:a16="http://schemas.microsoft.com/office/drawing/2014/main" id="{BD77ACAE-1928-41AB-91DE-1588D16315B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35" name="TextBox 10">
          <a:extLst>
            <a:ext uri="{FF2B5EF4-FFF2-40B4-BE49-F238E27FC236}">
              <a16:creationId xmlns:a16="http://schemas.microsoft.com/office/drawing/2014/main" id="{55A85CFF-FDBD-4859-83CC-521AD9737FB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36" name="TextBox 11">
          <a:extLst>
            <a:ext uri="{FF2B5EF4-FFF2-40B4-BE49-F238E27FC236}">
              <a16:creationId xmlns:a16="http://schemas.microsoft.com/office/drawing/2014/main" id="{27A4894D-7214-493D-B7D0-290A1CE97371}"/>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37" name="TextBox 12">
          <a:extLst>
            <a:ext uri="{FF2B5EF4-FFF2-40B4-BE49-F238E27FC236}">
              <a16:creationId xmlns:a16="http://schemas.microsoft.com/office/drawing/2014/main" id="{AA218E4B-092D-4372-B0D9-8AF050E7A73D}"/>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38" name="TextBox 9">
          <a:extLst>
            <a:ext uri="{FF2B5EF4-FFF2-40B4-BE49-F238E27FC236}">
              <a16:creationId xmlns:a16="http://schemas.microsoft.com/office/drawing/2014/main" id="{4F25F104-3917-49F1-9875-11DAF0961CB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39" name="TextBox 10">
          <a:extLst>
            <a:ext uri="{FF2B5EF4-FFF2-40B4-BE49-F238E27FC236}">
              <a16:creationId xmlns:a16="http://schemas.microsoft.com/office/drawing/2014/main" id="{1806B4A7-B9F2-45A8-B893-20BC5EEFD22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40" name="TextBox 11">
          <a:extLst>
            <a:ext uri="{FF2B5EF4-FFF2-40B4-BE49-F238E27FC236}">
              <a16:creationId xmlns:a16="http://schemas.microsoft.com/office/drawing/2014/main" id="{B2C53314-6EAF-46ED-80DE-7E44B988FCD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41" name="TextBox 12">
          <a:extLst>
            <a:ext uri="{FF2B5EF4-FFF2-40B4-BE49-F238E27FC236}">
              <a16:creationId xmlns:a16="http://schemas.microsoft.com/office/drawing/2014/main" id="{9AF51C46-49C0-4746-A071-FDA5FB348E15}"/>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42" name="TextBox 9">
          <a:extLst>
            <a:ext uri="{FF2B5EF4-FFF2-40B4-BE49-F238E27FC236}">
              <a16:creationId xmlns:a16="http://schemas.microsoft.com/office/drawing/2014/main" id="{4821EDD3-FB7F-4DE4-94B1-8CA1A5FBB13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43" name="TextBox 10">
          <a:extLst>
            <a:ext uri="{FF2B5EF4-FFF2-40B4-BE49-F238E27FC236}">
              <a16:creationId xmlns:a16="http://schemas.microsoft.com/office/drawing/2014/main" id="{8CE1DAE3-C10C-47A2-9ECF-3E5644BA7E2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44" name="TextBox 11">
          <a:extLst>
            <a:ext uri="{FF2B5EF4-FFF2-40B4-BE49-F238E27FC236}">
              <a16:creationId xmlns:a16="http://schemas.microsoft.com/office/drawing/2014/main" id="{ED5887A5-95F7-4EB2-8AE0-1F08DB72FE46}"/>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45" name="TextBox 12">
          <a:extLst>
            <a:ext uri="{FF2B5EF4-FFF2-40B4-BE49-F238E27FC236}">
              <a16:creationId xmlns:a16="http://schemas.microsoft.com/office/drawing/2014/main" id="{3309F79A-6B6F-4B03-9A8D-BF115173A073}"/>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46" name="TextBox 9">
          <a:extLst>
            <a:ext uri="{FF2B5EF4-FFF2-40B4-BE49-F238E27FC236}">
              <a16:creationId xmlns:a16="http://schemas.microsoft.com/office/drawing/2014/main" id="{28949FDE-F8F2-4FF1-B72C-F553D1A6921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47" name="TextBox 10">
          <a:extLst>
            <a:ext uri="{FF2B5EF4-FFF2-40B4-BE49-F238E27FC236}">
              <a16:creationId xmlns:a16="http://schemas.microsoft.com/office/drawing/2014/main" id="{77328671-FD8C-4015-A847-186D57F4850D}"/>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48" name="TextBox 11">
          <a:extLst>
            <a:ext uri="{FF2B5EF4-FFF2-40B4-BE49-F238E27FC236}">
              <a16:creationId xmlns:a16="http://schemas.microsoft.com/office/drawing/2014/main" id="{D6071022-BED4-4463-946E-84FB11607F7B}"/>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49" name="TextBox 12">
          <a:extLst>
            <a:ext uri="{FF2B5EF4-FFF2-40B4-BE49-F238E27FC236}">
              <a16:creationId xmlns:a16="http://schemas.microsoft.com/office/drawing/2014/main" id="{031A5061-515A-4502-B39A-ECC2D011D3AD}"/>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50" name="TextBox 9">
          <a:extLst>
            <a:ext uri="{FF2B5EF4-FFF2-40B4-BE49-F238E27FC236}">
              <a16:creationId xmlns:a16="http://schemas.microsoft.com/office/drawing/2014/main" id="{FEEB5DE9-8117-41EF-A478-0E77A59A5824}"/>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51" name="TextBox 10">
          <a:extLst>
            <a:ext uri="{FF2B5EF4-FFF2-40B4-BE49-F238E27FC236}">
              <a16:creationId xmlns:a16="http://schemas.microsoft.com/office/drawing/2014/main" id="{DF416329-9F4C-4D27-BFEA-F020FAF84DAA}"/>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52" name="TextBox 11">
          <a:extLst>
            <a:ext uri="{FF2B5EF4-FFF2-40B4-BE49-F238E27FC236}">
              <a16:creationId xmlns:a16="http://schemas.microsoft.com/office/drawing/2014/main" id="{3336BC44-187B-425F-BC26-80C5143EBDFE}"/>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53" name="TextBox 12">
          <a:extLst>
            <a:ext uri="{FF2B5EF4-FFF2-40B4-BE49-F238E27FC236}">
              <a16:creationId xmlns:a16="http://schemas.microsoft.com/office/drawing/2014/main" id="{DF56A213-E6B7-4FE9-8118-C37143431A7C}"/>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54" name="TextBox 9">
          <a:extLst>
            <a:ext uri="{FF2B5EF4-FFF2-40B4-BE49-F238E27FC236}">
              <a16:creationId xmlns:a16="http://schemas.microsoft.com/office/drawing/2014/main" id="{B04FFDD9-0B01-474B-9034-B464761B589F}"/>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55" name="TextBox 10">
          <a:extLst>
            <a:ext uri="{FF2B5EF4-FFF2-40B4-BE49-F238E27FC236}">
              <a16:creationId xmlns:a16="http://schemas.microsoft.com/office/drawing/2014/main" id="{A37706B7-3C6F-465B-AD59-BF31C7246810}"/>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56" name="TextBox 11">
          <a:extLst>
            <a:ext uri="{FF2B5EF4-FFF2-40B4-BE49-F238E27FC236}">
              <a16:creationId xmlns:a16="http://schemas.microsoft.com/office/drawing/2014/main" id="{92E69222-E965-4469-8AD9-A0E689DE51F4}"/>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32</xdr:row>
      <xdr:rowOff>0</xdr:rowOff>
    </xdr:from>
    <xdr:ext cx="211121" cy="277158"/>
    <xdr:sp macro="" textlink="">
      <xdr:nvSpPr>
        <xdr:cNvPr id="457" name="TextBox 12">
          <a:extLst>
            <a:ext uri="{FF2B5EF4-FFF2-40B4-BE49-F238E27FC236}">
              <a16:creationId xmlns:a16="http://schemas.microsoft.com/office/drawing/2014/main" id="{4DBFB2C1-00DA-46AD-B2BA-F4083D7DE522}"/>
            </a:ext>
          </a:extLst>
        </xdr:cNvPr>
        <xdr:cNvSpPr txBox="1"/>
      </xdr:nvSpPr>
      <xdr:spPr>
        <a:xfrm>
          <a:off x="7058025" y="39042975"/>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58" name="TextBox 9">
          <a:extLst>
            <a:ext uri="{FF2B5EF4-FFF2-40B4-BE49-F238E27FC236}">
              <a16:creationId xmlns:a16="http://schemas.microsoft.com/office/drawing/2014/main" id="{A3DA25E3-C65A-415F-9493-C986BFB38ADB}"/>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59" name="TextBox 10">
          <a:extLst>
            <a:ext uri="{FF2B5EF4-FFF2-40B4-BE49-F238E27FC236}">
              <a16:creationId xmlns:a16="http://schemas.microsoft.com/office/drawing/2014/main" id="{4A2EB200-1885-46E4-8B64-87EE56257139}"/>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60" name="TextBox 11">
          <a:extLst>
            <a:ext uri="{FF2B5EF4-FFF2-40B4-BE49-F238E27FC236}">
              <a16:creationId xmlns:a16="http://schemas.microsoft.com/office/drawing/2014/main" id="{325BED3E-2E14-4791-AB4A-EC9A74F099EB}"/>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61" name="TextBox 12">
          <a:extLst>
            <a:ext uri="{FF2B5EF4-FFF2-40B4-BE49-F238E27FC236}">
              <a16:creationId xmlns:a16="http://schemas.microsoft.com/office/drawing/2014/main" id="{7BD6C5D6-9222-4991-9699-9FEB846C85BB}"/>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62" name="TextBox 13">
          <a:extLst>
            <a:ext uri="{FF2B5EF4-FFF2-40B4-BE49-F238E27FC236}">
              <a16:creationId xmlns:a16="http://schemas.microsoft.com/office/drawing/2014/main" id="{405F466E-D18B-4C9B-BCD5-0B4F9C4FA0F3}"/>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63" name="TextBox 14">
          <a:extLst>
            <a:ext uri="{FF2B5EF4-FFF2-40B4-BE49-F238E27FC236}">
              <a16:creationId xmlns:a16="http://schemas.microsoft.com/office/drawing/2014/main" id="{4CC4E1B0-38FA-4FB5-8FA2-1EFEE5769813}"/>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64" name="TextBox 15">
          <a:extLst>
            <a:ext uri="{FF2B5EF4-FFF2-40B4-BE49-F238E27FC236}">
              <a16:creationId xmlns:a16="http://schemas.microsoft.com/office/drawing/2014/main" id="{525B539C-2674-48CD-AD9C-66BB823CF673}"/>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65" name="TextBox 16">
          <a:extLst>
            <a:ext uri="{FF2B5EF4-FFF2-40B4-BE49-F238E27FC236}">
              <a16:creationId xmlns:a16="http://schemas.microsoft.com/office/drawing/2014/main" id="{6B288DE4-7D42-43BD-906D-1DD1E777C63E}"/>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66" name="TextBox 21">
          <a:extLst>
            <a:ext uri="{FF2B5EF4-FFF2-40B4-BE49-F238E27FC236}">
              <a16:creationId xmlns:a16="http://schemas.microsoft.com/office/drawing/2014/main" id="{EDCD7F65-DF98-4FA8-9E3D-BACC7BE16B53}"/>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67" name="TextBox 22">
          <a:extLst>
            <a:ext uri="{FF2B5EF4-FFF2-40B4-BE49-F238E27FC236}">
              <a16:creationId xmlns:a16="http://schemas.microsoft.com/office/drawing/2014/main" id="{4EB9B3A8-E9B6-4A0D-8D8F-AB96408FB323}"/>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68" name="TextBox 23">
          <a:extLst>
            <a:ext uri="{FF2B5EF4-FFF2-40B4-BE49-F238E27FC236}">
              <a16:creationId xmlns:a16="http://schemas.microsoft.com/office/drawing/2014/main" id="{B29580A0-E360-4018-9EAC-5435AF3B5A26}"/>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69" name="TextBox 24">
          <a:extLst>
            <a:ext uri="{FF2B5EF4-FFF2-40B4-BE49-F238E27FC236}">
              <a16:creationId xmlns:a16="http://schemas.microsoft.com/office/drawing/2014/main" id="{07E8F0A4-AE9E-4C36-9DBD-22D5F00EE247}"/>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70" name="TextBox 29">
          <a:extLst>
            <a:ext uri="{FF2B5EF4-FFF2-40B4-BE49-F238E27FC236}">
              <a16:creationId xmlns:a16="http://schemas.microsoft.com/office/drawing/2014/main" id="{4EE2932E-FE9B-450C-833D-011D0F32471B}"/>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71" name="TextBox 30">
          <a:extLst>
            <a:ext uri="{FF2B5EF4-FFF2-40B4-BE49-F238E27FC236}">
              <a16:creationId xmlns:a16="http://schemas.microsoft.com/office/drawing/2014/main" id="{BE9855E1-2DCA-46CD-83C3-748C965CFA4E}"/>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72" name="TextBox 31">
          <a:extLst>
            <a:ext uri="{FF2B5EF4-FFF2-40B4-BE49-F238E27FC236}">
              <a16:creationId xmlns:a16="http://schemas.microsoft.com/office/drawing/2014/main" id="{D1C06344-95BF-4E5F-B140-6B0F0CC6FE83}"/>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73" name="TextBox 32">
          <a:extLst>
            <a:ext uri="{FF2B5EF4-FFF2-40B4-BE49-F238E27FC236}">
              <a16:creationId xmlns:a16="http://schemas.microsoft.com/office/drawing/2014/main" id="{AED21176-B429-44BF-BD37-3912B4D99CB5}"/>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74" name="TextBox 21">
          <a:extLst>
            <a:ext uri="{FF2B5EF4-FFF2-40B4-BE49-F238E27FC236}">
              <a16:creationId xmlns:a16="http://schemas.microsoft.com/office/drawing/2014/main" id="{9DF63C81-3EF2-4BD6-932E-6B986156FC16}"/>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75" name="TextBox 22">
          <a:extLst>
            <a:ext uri="{FF2B5EF4-FFF2-40B4-BE49-F238E27FC236}">
              <a16:creationId xmlns:a16="http://schemas.microsoft.com/office/drawing/2014/main" id="{F63168EE-3254-4BD5-901E-AC9B63FBB712}"/>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76" name="TextBox 23">
          <a:extLst>
            <a:ext uri="{FF2B5EF4-FFF2-40B4-BE49-F238E27FC236}">
              <a16:creationId xmlns:a16="http://schemas.microsoft.com/office/drawing/2014/main" id="{CB706C5F-2C47-4C6E-947C-EE6A695DE763}"/>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77" name="TextBox 24">
          <a:extLst>
            <a:ext uri="{FF2B5EF4-FFF2-40B4-BE49-F238E27FC236}">
              <a16:creationId xmlns:a16="http://schemas.microsoft.com/office/drawing/2014/main" id="{FAD16576-D288-412A-8EF7-89BD44C56A01}"/>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78" name="TextBox 29">
          <a:extLst>
            <a:ext uri="{FF2B5EF4-FFF2-40B4-BE49-F238E27FC236}">
              <a16:creationId xmlns:a16="http://schemas.microsoft.com/office/drawing/2014/main" id="{F333E108-6E53-4866-AB6C-3F83821412C7}"/>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79" name="TextBox 30">
          <a:extLst>
            <a:ext uri="{FF2B5EF4-FFF2-40B4-BE49-F238E27FC236}">
              <a16:creationId xmlns:a16="http://schemas.microsoft.com/office/drawing/2014/main" id="{950C7263-102D-4BF2-B93A-D0A53C6CC6BA}"/>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80" name="TextBox 31">
          <a:extLst>
            <a:ext uri="{FF2B5EF4-FFF2-40B4-BE49-F238E27FC236}">
              <a16:creationId xmlns:a16="http://schemas.microsoft.com/office/drawing/2014/main" id="{39A1C921-F0CA-4E11-ADF4-0BF953193372}"/>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81" name="TextBox 32">
          <a:extLst>
            <a:ext uri="{FF2B5EF4-FFF2-40B4-BE49-F238E27FC236}">
              <a16:creationId xmlns:a16="http://schemas.microsoft.com/office/drawing/2014/main" id="{B4C0257D-7CFC-4A12-8026-88555C0B5744}"/>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82" name="TextBox 9">
          <a:extLst>
            <a:ext uri="{FF2B5EF4-FFF2-40B4-BE49-F238E27FC236}">
              <a16:creationId xmlns:a16="http://schemas.microsoft.com/office/drawing/2014/main" id="{D1CD1E09-DAC1-4E32-8553-9324AE03D467}"/>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83" name="TextBox 10">
          <a:extLst>
            <a:ext uri="{FF2B5EF4-FFF2-40B4-BE49-F238E27FC236}">
              <a16:creationId xmlns:a16="http://schemas.microsoft.com/office/drawing/2014/main" id="{C51C757E-DCD2-4DF9-A6F1-AD3B27B1C28C}"/>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84" name="TextBox 11">
          <a:extLst>
            <a:ext uri="{FF2B5EF4-FFF2-40B4-BE49-F238E27FC236}">
              <a16:creationId xmlns:a16="http://schemas.microsoft.com/office/drawing/2014/main" id="{CDA8B01C-9B15-41E1-A781-8B51A0449684}"/>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85" name="TextBox 12">
          <a:extLst>
            <a:ext uri="{FF2B5EF4-FFF2-40B4-BE49-F238E27FC236}">
              <a16:creationId xmlns:a16="http://schemas.microsoft.com/office/drawing/2014/main" id="{D7993BF5-3C1F-4CF1-A1CF-107214402097}"/>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86" name="TextBox 9">
          <a:extLst>
            <a:ext uri="{FF2B5EF4-FFF2-40B4-BE49-F238E27FC236}">
              <a16:creationId xmlns:a16="http://schemas.microsoft.com/office/drawing/2014/main" id="{9CB46084-AE78-4AFD-B58A-C70607D16A08}"/>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87" name="TextBox 10">
          <a:extLst>
            <a:ext uri="{FF2B5EF4-FFF2-40B4-BE49-F238E27FC236}">
              <a16:creationId xmlns:a16="http://schemas.microsoft.com/office/drawing/2014/main" id="{9EA1B15C-F825-4AAB-A5D7-828FEA56033A}"/>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88" name="TextBox 11">
          <a:extLst>
            <a:ext uri="{FF2B5EF4-FFF2-40B4-BE49-F238E27FC236}">
              <a16:creationId xmlns:a16="http://schemas.microsoft.com/office/drawing/2014/main" id="{74DB7F0D-871A-4008-B958-30D34D82DFDA}"/>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89" name="TextBox 12">
          <a:extLst>
            <a:ext uri="{FF2B5EF4-FFF2-40B4-BE49-F238E27FC236}">
              <a16:creationId xmlns:a16="http://schemas.microsoft.com/office/drawing/2014/main" id="{66EF287D-E4A7-4531-AD55-04DB1396B1A7}"/>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90" name="TextBox 9">
          <a:extLst>
            <a:ext uri="{FF2B5EF4-FFF2-40B4-BE49-F238E27FC236}">
              <a16:creationId xmlns:a16="http://schemas.microsoft.com/office/drawing/2014/main" id="{924D2A11-AFB6-46D8-AE31-45B894EF3088}"/>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91" name="TextBox 10">
          <a:extLst>
            <a:ext uri="{FF2B5EF4-FFF2-40B4-BE49-F238E27FC236}">
              <a16:creationId xmlns:a16="http://schemas.microsoft.com/office/drawing/2014/main" id="{1E17BF65-01BD-4092-A5C5-253FD1ED99DA}"/>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92" name="TextBox 11">
          <a:extLst>
            <a:ext uri="{FF2B5EF4-FFF2-40B4-BE49-F238E27FC236}">
              <a16:creationId xmlns:a16="http://schemas.microsoft.com/office/drawing/2014/main" id="{ADA9A1E8-CD24-4B6B-9060-A5AC67DB0AE7}"/>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93" name="TextBox 12">
          <a:extLst>
            <a:ext uri="{FF2B5EF4-FFF2-40B4-BE49-F238E27FC236}">
              <a16:creationId xmlns:a16="http://schemas.microsoft.com/office/drawing/2014/main" id="{00411AFD-C741-48F0-9958-FF5D5603FC7E}"/>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94" name="TextBox 9">
          <a:extLst>
            <a:ext uri="{FF2B5EF4-FFF2-40B4-BE49-F238E27FC236}">
              <a16:creationId xmlns:a16="http://schemas.microsoft.com/office/drawing/2014/main" id="{FBAF94A5-4740-4AAC-8B48-AD3F705C9830}"/>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95" name="TextBox 10">
          <a:extLst>
            <a:ext uri="{FF2B5EF4-FFF2-40B4-BE49-F238E27FC236}">
              <a16:creationId xmlns:a16="http://schemas.microsoft.com/office/drawing/2014/main" id="{E97FC33B-8561-469D-8D42-58B6CF416303}"/>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96" name="TextBox 11">
          <a:extLst>
            <a:ext uri="{FF2B5EF4-FFF2-40B4-BE49-F238E27FC236}">
              <a16:creationId xmlns:a16="http://schemas.microsoft.com/office/drawing/2014/main" id="{BDB38F16-A165-4A6B-BC7E-9C03B90AE19B}"/>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97" name="TextBox 12">
          <a:extLst>
            <a:ext uri="{FF2B5EF4-FFF2-40B4-BE49-F238E27FC236}">
              <a16:creationId xmlns:a16="http://schemas.microsoft.com/office/drawing/2014/main" id="{891D23B7-E809-4807-A65D-CF36F1C3DEA3}"/>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98" name="TextBox 9">
          <a:extLst>
            <a:ext uri="{FF2B5EF4-FFF2-40B4-BE49-F238E27FC236}">
              <a16:creationId xmlns:a16="http://schemas.microsoft.com/office/drawing/2014/main" id="{0A32EEA8-686E-47A7-B247-682BFE197131}"/>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499" name="TextBox 10">
          <a:extLst>
            <a:ext uri="{FF2B5EF4-FFF2-40B4-BE49-F238E27FC236}">
              <a16:creationId xmlns:a16="http://schemas.microsoft.com/office/drawing/2014/main" id="{3F8111BD-2806-4801-8C00-0C88D6314CCB}"/>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00" name="TextBox 11">
          <a:extLst>
            <a:ext uri="{FF2B5EF4-FFF2-40B4-BE49-F238E27FC236}">
              <a16:creationId xmlns:a16="http://schemas.microsoft.com/office/drawing/2014/main" id="{DF8524B7-5A15-41CD-8E83-0B943A8BABD5}"/>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01" name="TextBox 12">
          <a:extLst>
            <a:ext uri="{FF2B5EF4-FFF2-40B4-BE49-F238E27FC236}">
              <a16:creationId xmlns:a16="http://schemas.microsoft.com/office/drawing/2014/main" id="{A2F450F0-39C2-4B4C-A6BA-BB03D2B338C6}"/>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02" name="TextBox 9">
          <a:extLst>
            <a:ext uri="{FF2B5EF4-FFF2-40B4-BE49-F238E27FC236}">
              <a16:creationId xmlns:a16="http://schemas.microsoft.com/office/drawing/2014/main" id="{6A1592BC-538F-4109-A926-445499CA5DB6}"/>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03" name="TextBox 10">
          <a:extLst>
            <a:ext uri="{FF2B5EF4-FFF2-40B4-BE49-F238E27FC236}">
              <a16:creationId xmlns:a16="http://schemas.microsoft.com/office/drawing/2014/main" id="{36FED2BC-617F-4985-91C3-C1CEE3A2A80B}"/>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04" name="TextBox 11">
          <a:extLst>
            <a:ext uri="{FF2B5EF4-FFF2-40B4-BE49-F238E27FC236}">
              <a16:creationId xmlns:a16="http://schemas.microsoft.com/office/drawing/2014/main" id="{173F92DC-B2B6-4266-8891-8C53B067FB31}"/>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05" name="TextBox 12">
          <a:extLst>
            <a:ext uri="{FF2B5EF4-FFF2-40B4-BE49-F238E27FC236}">
              <a16:creationId xmlns:a16="http://schemas.microsoft.com/office/drawing/2014/main" id="{340FA310-7990-48DD-B57A-81946F8773BB}"/>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06" name="TextBox 9">
          <a:extLst>
            <a:ext uri="{FF2B5EF4-FFF2-40B4-BE49-F238E27FC236}">
              <a16:creationId xmlns:a16="http://schemas.microsoft.com/office/drawing/2014/main" id="{4C217B41-D69D-4FCB-987F-961ACD3F1B61}"/>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07" name="TextBox 10">
          <a:extLst>
            <a:ext uri="{FF2B5EF4-FFF2-40B4-BE49-F238E27FC236}">
              <a16:creationId xmlns:a16="http://schemas.microsoft.com/office/drawing/2014/main" id="{36019DE9-46AE-47B0-BA54-7C64E60207F9}"/>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08" name="TextBox 11">
          <a:extLst>
            <a:ext uri="{FF2B5EF4-FFF2-40B4-BE49-F238E27FC236}">
              <a16:creationId xmlns:a16="http://schemas.microsoft.com/office/drawing/2014/main" id="{693DF75A-9971-4278-89D5-18CD1660C0D5}"/>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09" name="TextBox 12">
          <a:extLst>
            <a:ext uri="{FF2B5EF4-FFF2-40B4-BE49-F238E27FC236}">
              <a16:creationId xmlns:a16="http://schemas.microsoft.com/office/drawing/2014/main" id="{F8B1E390-D8E7-4A2F-8669-C3033032ADF8}"/>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10" name="TextBox 9">
          <a:extLst>
            <a:ext uri="{FF2B5EF4-FFF2-40B4-BE49-F238E27FC236}">
              <a16:creationId xmlns:a16="http://schemas.microsoft.com/office/drawing/2014/main" id="{ECC71989-3E0C-4317-8C95-16A1AC301865}"/>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11" name="TextBox 10">
          <a:extLst>
            <a:ext uri="{FF2B5EF4-FFF2-40B4-BE49-F238E27FC236}">
              <a16:creationId xmlns:a16="http://schemas.microsoft.com/office/drawing/2014/main" id="{5E878CA4-BE15-4827-912B-D7F073D98101}"/>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12" name="TextBox 11">
          <a:extLst>
            <a:ext uri="{FF2B5EF4-FFF2-40B4-BE49-F238E27FC236}">
              <a16:creationId xmlns:a16="http://schemas.microsoft.com/office/drawing/2014/main" id="{16370B30-CE4A-4667-B1E2-2FEBF7F9E60E}"/>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13" name="TextBox 12">
          <a:extLst>
            <a:ext uri="{FF2B5EF4-FFF2-40B4-BE49-F238E27FC236}">
              <a16:creationId xmlns:a16="http://schemas.microsoft.com/office/drawing/2014/main" id="{A4432E64-04F7-4CC4-AC63-E434059D3676}"/>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14" name="TextBox 9">
          <a:extLst>
            <a:ext uri="{FF2B5EF4-FFF2-40B4-BE49-F238E27FC236}">
              <a16:creationId xmlns:a16="http://schemas.microsoft.com/office/drawing/2014/main" id="{6A2B162D-B95B-4326-822B-902230895FA7}"/>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15" name="TextBox 10">
          <a:extLst>
            <a:ext uri="{FF2B5EF4-FFF2-40B4-BE49-F238E27FC236}">
              <a16:creationId xmlns:a16="http://schemas.microsoft.com/office/drawing/2014/main" id="{4AF83C1C-FB72-4A87-B0C6-D60DA474C173}"/>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16" name="TextBox 11">
          <a:extLst>
            <a:ext uri="{FF2B5EF4-FFF2-40B4-BE49-F238E27FC236}">
              <a16:creationId xmlns:a16="http://schemas.microsoft.com/office/drawing/2014/main" id="{437426FA-2476-4FC6-AA7E-FF0499FD817C}"/>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17" name="TextBox 12">
          <a:extLst>
            <a:ext uri="{FF2B5EF4-FFF2-40B4-BE49-F238E27FC236}">
              <a16:creationId xmlns:a16="http://schemas.microsoft.com/office/drawing/2014/main" id="{AEB381E9-EF24-4DCD-ACB3-5C9FEB1ADBDD}"/>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18" name="TextBox 9">
          <a:extLst>
            <a:ext uri="{FF2B5EF4-FFF2-40B4-BE49-F238E27FC236}">
              <a16:creationId xmlns:a16="http://schemas.microsoft.com/office/drawing/2014/main" id="{E2B3B6C9-B99D-4818-8972-F82639654FAF}"/>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19" name="TextBox 10">
          <a:extLst>
            <a:ext uri="{FF2B5EF4-FFF2-40B4-BE49-F238E27FC236}">
              <a16:creationId xmlns:a16="http://schemas.microsoft.com/office/drawing/2014/main" id="{C8DB931D-74E2-42A0-BB0A-9E6149C38986}"/>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20" name="TextBox 11">
          <a:extLst>
            <a:ext uri="{FF2B5EF4-FFF2-40B4-BE49-F238E27FC236}">
              <a16:creationId xmlns:a16="http://schemas.microsoft.com/office/drawing/2014/main" id="{073168F6-6BBB-4CF2-A4D8-9DA6D3ECA733}"/>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21" name="TextBox 12">
          <a:extLst>
            <a:ext uri="{FF2B5EF4-FFF2-40B4-BE49-F238E27FC236}">
              <a16:creationId xmlns:a16="http://schemas.microsoft.com/office/drawing/2014/main" id="{796D4385-7693-4CED-BA0E-85529EC548A8}"/>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22" name="TextBox 9">
          <a:extLst>
            <a:ext uri="{FF2B5EF4-FFF2-40B4-BE49-F238E27FC236}">
              <a16:creationId xmlns:a16="http://schemas.microsoft.com/office/drawing/2014/main" id="{36EA598C-C11C-4A99-8822-A696C3218F20}"/>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23" name="TextBox 10">
          <a:extLst>
            <a:ext uri="{FF2B5EF4-FFF2-40B4-BE49-F238E27FC236}">
              <a16:creationId xmlns:a16="http://schemas.microsoft.com/office/drawing/2014/main" id="{5140929C-C018-4222-8D61-DA08A7C358F6}"/>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24" name="TextBox 11">
          <a:extLst>
            <a:ext uri="{FF2B5EF4-FFF2-40B4-BE49-F238E27FC236}">
              <a16:creationId xmlns:a16="http://schemas.microsoft.com/office/drawing/2014/main" id="{3287BDD0-1D12-4912-BAFE-087DB732E308}"/>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0</xdr:colOff>
      <xdr:row>33</xdr:row>
      <xdr:rowOff>0</xdr:rowOff>
    </xdr:from>
    <xdr:ext cx="211121" cy="277158"/>
    <xdr:sp macro="" textlink="">
      <xdr:nvSpPr>
        <xdr:cNvPr id="525" name="TextBox 12">
          <a:extLst>
            <a:ext uri="{FF2B5EF4-FFF2-40B4-BE49-F238E27FC236}">
              <a16:creationId xmlns:a16="http://schemas.microsoft.com/office/drawing/2014/main" id="{7EA132CD-545B-47EC-8C9E-7618E74C1AFD}"/>
            </a:ext>
          </a:extLst>
        </xdr:cNvPr>
        <xdr:cNvSpPr txBox="1"/>
      </xdr:nvSpPr>
      <xdr:spPr>
        <a:xfrm>
          <a:off x="7058025" y="39204900"/>
          <a:ext cx="211121" cy="277158"/>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2703830</xdr:colOff>
      <xdr:row>314</xdr:row>
      <xdr:rowOff>0</xdr:rowOff>
    </xdr:from>
    <xdr:ext cx="28854" cy="132665"/>
    <xdr:sp macro="" textlink="">
      <xdr:nvSpPr>
        <xdr:cNvPr id="2" name="Rectangle 269">
          <a:extLst>
            <a:ext uri="{FF2B5EF4-FFF2-40B4-BE49-F238E27FC236}">
              <a16:creationId xmlns:a16="http://schemas.microsoft.com/office/drawing/2014/main" id="{17743345-AC2C-49DF-965B-413E480F4E57}"/>
            </a:ext>
          </a:extLst>
        </xdr:cNvPr>
        <xdr:cNvSpPr>
          <a:spLocks noChangeArrowheads="1"/>
        </xdr:cNvSpPr>
      </xdr:nvSpPr>
      <xdr:spPr bwMode="auto">
        <a:xfrm>
          <a:off x="2703830" y="52616100"/>
          <a:ext cx="28854" cy="132665"/>
        </a:xfrm>
        <a:prstGeom prst="rect">
          <a:avLst/>
        </a:prstGeom>
        <a:noFill/>
        <a:ln w="9525">
          <a:noFill/>
          <a:miter lim="800000"/>
          <a:headEnd/>
          <a:tailEnd/>
        </a:ln>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3" name="Rectangle 238">
          <a:extLst>
            <a:ext uri="{FF2B5EF4-FFF2-40B4-BE49-F238E27FC236}">
              <a16:creationId xmlns:a16="http://schemas.microsoft.com/office/drawing/2014/main" id="{3741092F-44A4-40F1-8B79-D902D359B4B6}"/>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4" name="Rectangle 249">
          <a:extLst>
            <a:ext uri="{FF2B5EF4-FFF2-40B4-BE49-F238E27FC236}">
              <a16:creationId xmlns:a16="http://schemas.microsoft.com/office/drawing/2014/main" id="{964C6985-A6A0-4E67-9CBB-3D400F87ACF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5" name="Rectangle 251">
          <a:extLst>
            <a:ext uri="{FF2B5EF4-FFF2-40B4-BE49-F238E27FC236}">
              <a16:creationId xmlns:a16="http://schemas.microsoft.com/office/drawing/2014/main" id="{E23BB52E-B520-428D-BBE4-5423FF0BE8F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6" name="Rectangle 253">
          <a:extLst>
            <a:ext uri="{FF2B5EF4-FFF2-40B4-BE49-F238E27FC236}">
              <a16:creationId xmlns:a16="http://schemas.microsoft.com/office/drawing/2014/main" id="{99E3C3C6-B344-4C7E-969E-D14B46F16BE6}"/>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7" name="Rectangle 254">
          <a:extLst>
            <a:ext uri="{FF2B5EF4-FFF2-40B4-BE49-F238E27FC236}">
              <a16:creationId xmlns:a16="http://schemas.microsoft.com/office/drawing/2014/main" id="{ABA03CB9-1FB9-4C17-BB47-AE3429C0F4B5}"/>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8" name="Rectangle 255">
          <a:extLst>
            <a:ext uri="{FF2B5EF4-FFF2-40B4-BE49-F238E27FC236}">
              <a16:creationId xmlns:a16="http://schemas.microsoft.com/office/drawing/2014/main" id="{AA2C2607-E33F-4889-9426-070B028E0462}"/>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9" name="Rectangle 257">
          <a:extLst>
            <a:ext uri="{FF2B5EF4-FFF2-40B4-BE49-F238E27FC236}">
              <a16:creationId xmlns:a16="http://schemas.microsoft.com/office/drawing/2014/main" id="{2C329AA4-2FDA-4F79-A3DB-2C744561460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0" name="Rectangle 258">
          <a:extLst>
            <a:ext uri="{FF2B5EF4-FFF2-40B4-BE49-F238E27FC236}">
              <a16:creationId xmlns:a16="http://schemas.microsoft.com/office/drawing/2014/main" id="{F171EF20-5020-4667-B305-A33D2EB35A15}"/>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1" name="Rectangle 259">
          <a:extLst>
            <a:ext uri="{FF2B5EF4-FFF2-40B4-BE49-F238E27FC236}">
              <a16:creationId xmlns:a16="http://schemas.microsoft.com/office/drawing/2014/main" id="{49E23727-E771-44B5-812B-A8D0AD93A5F1}"/>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2" name="Rectangle 260">
          <a:extLst>
            <a:ext uri="{FF2B5EF4-FFF2-40B4-BE49-F238E27FC236}">
              <a16:creationId xmlns:a16="http://schemas.microsoft.com/office/drawing/2014/main" id="{716BCEA0-1F8C-4505-904F-5BF43610446F}"/>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3" name="Rectangle 261">
          <a:extLst>
            <a:ext uri="{FF2B5EF4-FFF2-40B4-BE49-F238E27FC236}">
              <a16:creationId xmlns:a16="http://schemas.microsoft.com/office/drawing/2014/main" id="{A26C04CF-8BE1-4EA2-820C-875653B9AC3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4" name="Rectangle 262">
          <a:extLst>
            <a:ext uri="{FF2B5EF4-FFF2-40B4-BE49-F238E27FC236}">
              <a16:creationId xmlns:a16="http://schemas.microsoft.com/office/drawing/2014/main" id="{0033A0AF-32A9-449D-A4A0-5A1D3A92738F}"/>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314</xdr:row>
      <xdr:rowOff>0</xdr:rowOff>
    </xdr:from>
    <xdr:ext cx="28854" cy="132665"/>
    <xdr:sp macro="" textlink="" fLocksText="0">
      <xdr:nvSpPr>
        <xdr:cNvPr id="15" name="Rectangle 263">
          <a:extLst>
            <a:ext uri="{FF2B5EF4-FFF2-40B4-BE49-F238E27FC236}">
              <a16:creationId xmlns:a16="http://schemas.microsoft.com/office/drawing/2014/main" id="{C8FA5DAA-58BD-4969-B30F-795222C1AAF7}"/>
            </a:ext>
          </a:extLst>
        </xdr:cNvPr>
        <xdr:cNvSpPr>
          <a:spLocks noChangeArrowheads="1"/>
        </xdr:cNvSpPr>
      </xdr:nvSpPr>
      <xdr:spPr bwMode="auto">
        <a:xfrm>
          <a:off x="3810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6" name="Rectangle 264">
          <a:extLst>
            <a:ext uri="{FF2B5EF4-FFF2-40B4-BE49-F238E27FC236}">
              <a16:creationId xmlns:a16="http://schemas.microsoft.com/office/drawing/2014/main" id="{8FC0ED4F-6457-4EC2-A89D-1C2FAC260BBF}"/>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7" name="Rectangle 265">
          <a:extLst>
            <a:ext uri="{FF2B5EF4-FFF2-40B4-BE49-F238E27FC236}">
              <a16:creationId xmlns:a16="http://schemas.microsoft.com/office/drawing/2014/main" id="{A08C7057-4FD3-4EC9-8201-BE85A7599803}"/>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8" name="Rectangle 266">
          <a:extLst>
            <a:ext uri="{FF2B5EF4-FFF2-40B4-BE49-F238E27FC236}">
              <a16:creationId xmlns:a16="http://schemas.microsoft.com/office/drawing/2014/main" id="{F7283F35-3B2F-4962-B9EE-58DB533B5C47}"/>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9" name="Rectangle 267">
          <a:extLst>
            <a:ext uri="{FF2B5EF4-FFF2-40B4-BE49-F238E27FC236}">
              <a16:creationId xmlns:a16="http://schemas.microsoft.com/office/drawing/2014/main" id="{9A8B6A1B-2417-4357-A7CE-0A80D5CE5B3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20" name="Rectangle 268">
          <a:extLst>
            <a:ext uri="{FF2B5EF4-FFF2-40B4-BE49-F238E27FC236}">
              <a16:creationId xmlns:a16="http://schemas.microsoft.com/office/drawing/2014/main" id="{BB7CAD67-586F-4ACF-B660-85A3BEDAB202}"/>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21" name="Rectangle 269">
          <a:extLst>
            <a:ext uri="{FF2B5EF4-FFF2-40B4-BE49-F238E27FC236}">
              <a16:creationId xmlns:a16="http://schemas.microsoft.com/office/drawing/2014/main" id="{D622FFD8-A587-4881-92CD-6CAC6174D565}"/>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22" name="Rectangle 270">
          <a:extLst>
            <a:ext uri="{FF2B5EF4-FFF2-40B4-BE49-F238E27FC236}">
              <a16:creationId xmlns:a16="http://schemas.microsoft.com/office/drawing/2014/main" id="{2666A830-39E1-4EE8-88E8-6B19F01868E0}"/>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23" name="Rectangle 271">
          <a:extLst>
            <a:ext uri="{FF2B5EF4-FFF2-40B4-BE49-F238E27FC236}">
              <a16:creationId xmlns:a16="http://schemas.microsoft.com/office/drawing/2014/main" id="{237368D2-0591-4515-9105-32728BA9A850}"/>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24" name="Rectangle 272">
          <a:extLst>
            <a:ext uri="{FF2B5EF4-FFF2-40B4-BE49-F238E27FC236}">
              <a16:creationId xmlns:a16="http://schemas.microsoft.com/office/drawing/2014/main" id="{70EB0F78-8ADD-492E-93F8-525065C78B33}"/>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25" name="Rectangle 273">
          <a:extLst>
            <a:ext uri="{FF2B5EF4-FFF2-40B4-BE49-F238E27FC236}">
              <a16:creationId xmlns:a16="http://schemas.microsoft.com/office/drawing/2014/main" id="{7C6C8594-9C03-4FD3-A253-CB5C2750720E}"/>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26" name="Rectangle 274">
          <a:extLst>
            <a:ext uri="{FF2B5EF4-FFF2-40B4-BE49-F238E27FC236}">
              <a16:creationId xmlns:a16="http://schemas.microsoft.com/office/drawing/2014/main" id="{18A911A2-835A-4519-9EEA-7576ACD05429}"/>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27" name="Rectangle 275">
          <a:extLst>
            <a:ext uri="{FF2B5EF4-FFF2-40B4-BE49-F238E27FC236}">
              <a16:creationId xmlns:a16="http://schemas.microsoft.com/office/drawing/2014/main" id="{1AA4DC46-4665-46F8-A469-DE44811E4A54}"/>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314</xdr:row>
      <xdr:rowOff>0</xdr:rowOff>
    </xdr:from>
    <xdr:ext cx="28854" cy="132665"/>
    <xdr:sp macro="" textlink="" fLocksText="0">
      <xdr:nvSpPr>
        <xdr:cNvPr id="28" name="Rectangle 276">
          <a:extLst>
            <a:ext uri="{FF2B5EF4-FFF2-40B4-BE49-F238E27FC236}">
              <a16:creationId xmlns:a16="http://schemas.microsoft.com/office/drawing/2014/main" id="{78B36A52-88A4-4326-859B-70E8F66E8360}"/>
            </a:ext>
          </a:extLst>
        </xdr:cNvPr>
        <xdr:cNvSpPr>
          <a:spLocks noChangeArrowheads="1"/>
        </xdr:cNvSpPr>
      </xdr:nvSpPr>
      <xdr:spPr bwMode="auto">
        <a:xfrm>
          <a:off x="3810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29" name="Rectangle 277">
          <a:extLst>
            <a:ext uri="{FF2B5EF4-FFF2-40B4-BE49-F238E27FC236}">
              <a16:creationId xmlns:a16="http://schemas.microsoft.com/office/drawing/2014/main" id="{3B1961AF-5026-49E1-A15D-E63D1C82E912}"/>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30" name="Rectangle 278">
          <a:extLst>
            <a:ext uri="{FF2B5EF4-FFF2-40B4-BE49-F238E27FC236}">
              <a16:creationId xmlns:a16="http://schemas.microsoft.com/office/drawing/2014/main" id="{8941377B-52FF-46F5-B66C-FA7A4D5EF323}"/>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31" name="Rectangle 279">
          <a:extLst>
            <a:ext uri="{FF2B5EF4-FFF2-40B4-BE49-F238E27FC236}">
              <a16:creationId xmlns:a16="http://schemas.microsoft.com/office/drawing/2014/main" id="{FB9439D2-5EF3-4EDC-A3F5-BBBBBE37A771}"/>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32" name="Rectangle 280">
          <a:extLst>
            <a:ext uri="{FF2B5EF4-FFF2-40B4-BE49-F238E27FC236}">
              <a16:creationId xmlns:a16="http://schemas.microsoft.com/office/drawing/2014/main" id="{9AC37644-B92D-45B2-BC7F-D2C9DC876E9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33" name="Rectangle 281">
          <a:extLst>
            <a:ext uri="{FF2B5EF4-FFF2-40B4-BE49-F238E27FC236}">
              <a16:creationId xmlns:a16="http://schemas.microsoft.com/office/drawing/2014/main" id="{C31BD2D7-E9B8-4488-B503-F6331BEA813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34" name="Rectangle 282">
          <a:extLst>
            <a:ext uri="{FF2B5EF4-FFF2-40B4-BE49-F238E27FC236}">
              <a16:creationId xmlns:a16="http://schemas.microsoft.com/office/drawing/2014/main" id="{591B86A8-4A9D-43D8-9057-E28B08CB8327}"/>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35" name="Rectangle 283">
          <a:extLst>
            <a:ext uri="{FF2B5EF4-FFF2-40B4-BE49-F238E27FC236}">
              <a16:creationId xmlns:a16="http://schemas.microsoft.com/office/drawing/2014/main" id="{49056524-0E13-497D-B98D-67FA9567FF60}"/>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36" name="Rectangle 284">
          <a:extLst>
            <a:ext uri="{FF2B5EF4-FFF2-40B4-BE49-F238E27FC236}">
              <a16:creationId xmlns:a16="http://schemas.microsoft.com/office/drawing/2014/main" id="{9FB77F18-6072-4049-AE09-B5AEE27FF800}"/>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37" name="Rectangle 285">
          <a:extLst>
            <a:ext uri="{FF2B5EF4-FFF2-40B4-BE49-F238E27FC236}">
              <a16:creationId xmlns:a16="http://schemas.microsoft.com/office/drawing/2014/main" id="{4C2CA0A9-6BD6-439C-AC8A-7A320DEE5FF3}"/>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38" name="Rectangle 286">
          <a:extLst>
            <a:ext uri="{FF2B5EF4-FFF2-40B4-BE49-F238E27FC236}">
              <a16:creationId xmlns:a16="http://schemas.microsoft.com/office/drawing/2014/main" id="{88E66A35-42F0-47C9-B5F2-F3E3740453DF}"/>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39" name="Rectangle 287">
          <a:extLst>
            <a:ext uri="{FF2B5EF4-FFF2-40B4-BE49-F238E27FC236}">
              <a16:creationId xmlns:a16="http://schemas.microsoft.com/office/drawing/2014/main" id="{DFE98405-4D0C-48F2-811E-B1621A1DB862}"/>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40" name="Rectangle 288">
          <a:extLst>
            <a:ext uri="{FF2B5EF4-FFF2-40B4-BE49-F238E27FC236}">
              <a16:creationId xmlns:a16="http://schemas.microsoft.com/office/drawing/2014/main" id="{4A17E5BA-3849-4C2F-9145-522ACF519C4A}"/>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41" name="Rectangle 289">
          <a:extLst>
            <a:ext uri="{FF2B5EF4-FFF2-40B4-BE49-F238E27FC236}">
              <a16:creationId xmlns:a16="http://schemas.microsoft.com/office/drawing/2014/main" id="{6DB1DBAB-6EC4-4AE9-8DA8-A6471129272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42" name="Rectangle 290">
          <a:extLst>
            <a:ext uri="{FF2B5EF4-FFF2-40B4-BE49-F238E27FC236}">
              <a16:creationId xmlns:a16="http://schemas.microsoft.com/office/drawing/2014/main" id="{ACA3D95C-77C2-4E2E-8BDD-D8BA9C419F21}"/>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43" name="Rectangle 291">
          <a:extLst>
            <a:ext uri="{FF2B5EF4-FFF2-40B4-BE49-F238E27FC236}">
              <a16:creationId xmlns:a16="http://schemas.microsoft.com/office/drawing/2014/main" id="{8E53CF2B-D3C9-4F5C-A684-C81005BA3B0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44" name="Rectangle 292">
          <a:extLst>
            <a:ext uri="{FF2B5EF4-FFF2-40B4-BE49-F238E27FC236}">
              <a16:creationId xmlns:a16="http://schemas.microsoft.com/office/drawing/2014/main" id="{A80DA5CC-DF4B-4AB0-9462-C8E38DB51EC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45" name="Rectangle 293">
          <a:extLst>
            <a:ext uri="{FF2B5EF4-FFF2-40B4-BE49-F238E27FC236}">
              <a16:creationId xmlns:a16="http://schemas.microsoft.com/office/drawing/2014/main" id="{7C211A0B-6566-4943-A0EB-2135B1C326BA}"/>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46" name="Rectangle 294">
          <a:extLst>
            <a:ext uri="{FF2B5EF4-FFF2-40B4-BE49-F238E27FC236}">
              <a16:creationId xmlns:a16="http://schemas.microsoft.com/office/drawing/2014/main" id="{803AF1F0-124A-4157-92A1-D560046B0EAF}"/>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314</xdr:row>
      <xdr:rowOff>0</xdr:rowOff>
    </xdr:from>
    <xdr:ext cx="28854" cy="132665"/>
    <xdr:sp macro="" textlink="" fLocksText="0">
      <xdr:nvSpPr>
        <xdr:cNvPr id="47" name="Rectangle 295">
          <a:extLst>
            <a:ext uri="{FF2B5EF4-FFF2-40B4-BE49-F238E27FC236}">
              <a16:creationId xmlns:a16="http://schemas.microsoft.com/office/drawing/2014/main" id="{A6D66A44-7EE1-4EC5-AA81-F3915B656275}"/>
            </a:ext>
          </a:extLst>
        </xdr:cNvPr>
        <xdr:cNvSpPr>
          <a:spLocks noChangeArrowheads="1"/>
        </xdr:cNvSpPr>
      </xdr:nvSpPr>
      <xdr:spPr bwMode="auto">
        <a:xfrm>
          <a:off x="3810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48" name="Rectangle 296">
          <a:extLst>
            <a:ext uri="{FF2B5EF4-FFF2-40B4-BE49-F238E27FC236}">
              <a16:creationId xmlns:a16="http://schemas.microsoft.com/office/drawing/2014/main" id="{18E1E2D4-D1B2-4F40-A03F-C860C344412E}"/>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49" name="Rectangle 297">
          <a:extLst>
            <a:ext uri="{FF2B5EF4-FFF2-40B4-BE49-F238E27FC236}">
              <a16:creationId xmlns:a16="http://schemas.microsoft.com/office/drawing/2014/main" id="{24D750C2-0638-4316-A9A0-53616A384A10}"/>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50" name="Rectangle 298">
          <a:extLst>
            <a:ext uri="{FF2B5EF4-FFF2-40B4-BE49-F238E27FC236}">
              <a16:creationId xmlns:a16="http://schemas.microsoft.com/office/drawing/2014/main" id="{F5CCEE71-7420-46F1-B112-6F6642D9120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51" name="Rectangle 299">
          <a:extLst>
            <a:ext uri="{FF2B5EF4-FFF2-40B4-BE49-F238E27FC236}">
              <a16:creationId xmlns:a16="http://schemas.microsoft.com/office/drawing/2014/main" id="{B56BABD5-C690-4724-8AC5-3E98E17EEB2C}"/>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52" name="Rectangle 300">
          <a:extLst>
            <a:ext uri="{FF2B5EF4-FFF2-40B4-BE49-F238E27FC236}">
              <a16:creationId xmlns:a16="http://schemas.microsoft.com/office/drawing/2014/main" id="{C051A223-3A6A-47BB-A4FA-EF4847D3C621}"/>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53" name="Rectangle 301">
          <a:extLst>
            <a:ext uri="{FF2B5EF4-FFF2-40B4-BE49-F238E27FC236}">
              <a16:creationId xmlns:a16="http://schemas.microsoft.com/office/drawing/2014/main" id="{80FD5856-940F-41F5-9B67-5B0F5549EC7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54" name="Rectangle 302">
          <a:extLst>
            <a:ext uri="{FF2B5EF4-FFF2-40B4-BE49-F238E27FC236}">
              <a16:creationId xmlns:a16="http://schemas.microsoft.com/office/drawing/2014/main" id="{1C8A3015-F6A3-4909-91C6-04DF1A8AFF8A}"/>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55" name="Rectangle 303">
          <a:extLst>
            <a:ext uri="{FF2B5EF4-FFF2-40B4-BE49-F238E27FC236}">
              <a16:creationId xmlns:a16="http://schemas.microsoft.com/office/drawing/2014/main" id="{98776459-A32C-4CAD-91F8-EAF0B0900BF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56" name="Rectangle 304">
          <a:extLst>
            <a:ext uri="{FF2B5EF4-FFF2-40B4-BE49-F238E27FC236}">
              <a16:creationId xmlns:a16="http://schemas.microsoft.com/office/drawing/2014/main" id="{FAD39CD1-C217-4DAA-B63A-924EBC96893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57" name="Rectangle 305">
          <a:extLst>
            <a:ext uri="{FF2B5EF4-FFF2-40B4-BE49-F238E27FC236}">
              <a16:creationId xmlns:a16="http://schemas.microsoft.com/office/drawing/2014/main" id="{D8AC93E5-F8A4-4557-B6A0-8853045DDBC5}"/>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58" name="Rectangle 306">
          <a:extLst>
            <a:ext uri="{FF2B5EF4-FFF2-40B4-BE49-F238E27FC236}">
              <a16:creationId xmlns:a16="http://schemas.microsoft.com/office/drawing/2014/main" id="{0E46CF85-301C-4D45-BAD4-20E5260C2FDB}"/>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59" name="Rectangle 307">
          <a:extLst>
            <a:ext uri="{FF2B5EF4-FFF2-40B4-BE49-F238E27FC236}">
              <a16:creationId xmlns:a16="http://schemas.microsoft.com/office/drawing/2014/main" id="{27930F20-A7C8-4206-9AA7-B460B3E81DC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60" name="Rectangle 308">
          <a:extLst>
            <a:ext uri="{FF2B5EF4-FFF2-40B4-BE49-F238E27FC236}">
              <a16:creationId xmlns:a16="http://schemas.microsoft.com/office/drawing/2014/main" id="{87C1B248-C95E-418A-9E3D-EBCD436A1D91}"/>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61" name="Rectangle 309">
          <a:extLst>
            <a:ext uri="{FF2B5EF4-FFF2-40B4-BE49-F238E27FC236}">
              <a16:creationId xmlns:a16="http://schemas.microsoft.com/office/drawing/2014/main" id="{7D309F31-9CF0-4F18-8F85-0B79B4518C0E}"/>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62" name="Rectangle 310">
          <a:extLst>
            <a:ext uri="{FF2B5EF4-FFF2-40B4-BE49-F238E27FC236}">
              <a16:creationId xmlns:a16="http://schemas.microsoft.com/office/drawing/2014/main" id="{A23D2040-1E7E-4934-8377-F2D86C87599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63" name="Rectangle 311">
          <a:extLst>
            <a:ext uri="{FF2B5EF4-FFF2-40B4-BE49-F238E27FC236}">
              <a16:creationId xmlns:a16="http://schemas.microsoft.com/office/drawing/2014/main" id="{32CDA525-5AF4-4CB8-9BF9-A3E0745E85BE}"/>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64" name="Rectangle 312">
          <a:extLst>
            <a:ext uri="{FF2B5EF4-FFF2-40B4-BE49-F238E27FC236}">
              <a16:creationId xmlns:a16="http://schemas.microsoft.com/office/drawing/2014/main" id="{D901F9F9-7AFE-4106-ACA7-1B6061B02FA7}"/>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65" name="Rectangle 313">
          <a:extLst>
            <a:ext uri="{FF2B5EF4-FFF2-40B4-BE49-F238E27FC236}">
              <a16:creationId xmlns:a16="http://schemas.microsoft.com/office/drawing/2014/main" id="{9F8D0798-AA3F-415B-ACA9-E0F5798D9F67}"/>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66" name="Rectangle 314">
          <a:extLst>
            <a:ext uri="{FF2B5EF4-FFF2-40B4-BE49-F238E27FC236}">
              <a16:creationId xmlns:a16="http://schemas.microsoft.com/office/drawing/2014/main" id="{672E8350-CB18-408B-B683-FB046E2F905E}"/>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67" name="Rectangle 315">
          <a:extLst>
            <a:ext uri="{FF2B5EF4-FFF2-40B4-BE49-F238E27FC236}">
              <a16:creationId xmlns:a16="http://schemas.microsoft.com/office/drawing/2014/main" id="{E1ACA5CA-6BB0-4A46-B7FA-AAC929D6409A}"/>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68" name="Rectangle 316">
          <a:extLst>
            <a:ext uri="{FF2B5EF4-FFF2-40B4-BE49-F238E27FC236}">
              <a16:creationId xmlns:a16="http://schemas.microsoft.com/office/drawing/2014/main" id="{D494A367-224B-417B-866A-2AC94B13F64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69" name="Rectangle 317">
          <a:extLst>
            <a:ext uri="{FF2B5EF4-FFF2-40B4-BE49-F238E27FC236}">
              <a16:creationId xmlns:a16="http://schemas.microsoft.com/office/drawing/2014/main" id="{CEF06AFC-0AE7-4A05-9527-C55484A3DA8F}"/>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70" name="Rectangle 318">
          <a:extLst>
            <a:ext uri="{FF2B5EF4-FFF2-40B4-BE49-F238E27FC236}">
              <a16:creationId xmlns:a16="http://schemas.microsoft.com/office/drawing/2014/main" id="{A861DD82-379F-4734-A017-09EE119BCEF9}"/>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71" name="Rectangle 319">
          <a:extLst>
            <a:ext uri="{FF2B5EF4-FFF2-40B4-BE49-F238E27FC236}">
              <a16:creationId xmlns:a16="http://schemas.microsoft.com/office/drawing/2014/main" id="{6EFF9684-656B-4033-ACA7-66423061F552}"/>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314</xdr:row>
      <xdr:rowOff>0</xdr:rowOff>
    </xdr:from>
    <xdr:ext cx="28854" cy="132665"/>
    <xdr:sp macro="" textlink="" fLocksText="0">
      <xdr:nvSpPr>
        <xdr:cNvPr id="72" name="Rectangle 320">
          <a:extLst>
            <a:ext uri="{FF2B5EF4-FFF2-40B4-BE49-F238E27FC236}">
              <a16:creationId xmlns:a16="http://schemas.microsoft.com/office/drawing/2014/main" id="{554BE992-CA20-46D5-960D-1BB90B21BAA5}"/>
            </a:ext>
          </a:extLst>
        </xdr:cNvPr>
        <xdr:cNvSpPr>
          <a:spLocks noChangeArrowheads="1"/>
        </xdr:cNvSpPr>
      </xdr:nvSpPr>
      <xdr:spPr bwMode="auto">
        <a:xfrm>
          <a:off x="3810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73" name="Rectangle 321">
          <a:extLst>
            <a:ext uri="{FF2B5EF4-FFF2-40B4-BE49-F238E27FC236}">
              <a16:creationId xmlns:a16="http://schemas.microsoft.com/office/drawing/2014/main" id="{C27D4594-B827-4FEB-9E66-5E9AE4A86E7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74" name="Rectangle 322">
          <a:extLst>
            <a:ext uri="{FF2B5EF4-FFF2-40B4-BE49-F238E27FC236}">
              <a16:creationId xmlns:a16="http://schemas.microsoft.com/office/drawing/2014/main" id="{DC7CA4B2-CC80-4A66-A3DA-D61DC94B5DC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75" name="Rectangle 323">
          <a:extLst>
            <a:ext uri="{FF2B5EF4-FFF2-40B4-BE49-F238E27FC236}">
              <a16:creationId xmlns:a16="http://schemas.microsoft.com/office/drawing/2014/main" id="{B2A5A698-75DF-4525-A84E-63F5CC63CEE7}"/>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76" name="Rectangle 324">
          <a:extLst>
            <a:ext uri="{FF2B5EF4-FFF2-40B4-BE49-F238E27FC236}">
              <a16:creationId xmlns:a16="http://schemas.microsoft.com/office/drawing/2014/main" id="{95C2EB28-4A56-4060-9E69-218512B459C2}"/>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77" name="Rectangle 325">
          <a:extLst>
            <a:ext uri="{FF2B5EF4-FFF2-40B4-BE49-F238E27FC236}">
              <a16:creationId xmlns:a16="http://schemas.microsoft.com/office/drawing/2014/main" id="{9957EEB8-320F-4B2E-A82E-4D094355E249}"/>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78" name="Rectangle 326">
          <a:extLst>
            <a:ext uri="{FF2B5EF4-FFF2-40B4-BE49-F238E27FC236}">
              <a16:creationId xmlns:a16="http://schemas.microsoft.com/office/drawing/2014/main" id="{B6ACE248-E07E-4BFC-8B25-E661DDCF8A22}"/>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79" name="Rectangle 327">
          <a:extLst>
            <a:ext uri="{FF2B5EF4-FFF2-40B4-BE49-F238E27FC236}">
              <a16:creationId xmlns:a16="http://schemas.microsoft.com/office/drawing/2014/main" id="{806B4EF6-799E-4D4F-8B4F-83F1869B871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80" name="Rectangle 328">
          <a:extLst>
            <a:ext uri="{FF2B5EF4-FFF2-40B4-BE49-F238E27FC236}">
              <a16:creationId xmlns:a16="http://schemas.microsoft.com/office/drawing/2014/main" id="{9517EB63-72E9-40AB-A173-80B10E850D5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81" name="Rectangle 329">
          <a:extLst>
            <a:ext uri="{FF2B5EF4-FFF2-40B4-BE49-F238E27FC236}">
              <a16:creationId xmlns:a16="http://schemas.microsoft.com/office/drawing/2014/main" id="{01E10C72-77E1-46F0-BCD0-EDB32582268E}"/>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82" name="Rectangle 330">
          <a:extLst>
            <a:ext uri="{FF2B5EF4-FFF2-40B4-BE49-F238E27FC236}">
              <a16:creationId xmlns:a16="http://schemas.microsoft.com/office/drawing/2014/main" id="{B97BDD33-7B24-4C64-90EF-850632CD4DC5}"/>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83" name="Rectangle 331">
          <a:extLst>
            <a:ext uri="{FF2B5EF4-FFF2-40B4-BE49-F238E27FC236}">
              <a16:creationId xmlns:a16="http://schemas.microsoft.com/office/drawing/2014/main" id="{468A23E3-748D-4420-9594-F81E3866BEFB}"/>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84" name="Rectangle 332">
          <a:extLst>
            <a:ext uri="{FF2B5EF4-FFF2-40B4-BE49-F238E27FC236}">
              <a16:creationId xmlns:a16="http://schemas.microsoft.com/office/drawing/2014/main" id="{85DF5FB1-ADE2-45EC-9615-137F686E7F6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85" name="Rectangle 333">
          <a:extLst>
            <a:ext uri="{FF2B5EF4-FFF2-40B4-BE49-F238E27FC236}">
              <a16:creationId xmlns:a16="http://schemas.microsoft.com/office/drawing/2014/main" id="{DC439168-6456-4CA3-8641-48A0D697C3CF}"/>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86" name="Rectangle 334">
          <a:extLst>
            <a:ext uri="{FF2B5EF4-FFF2-40B4-BE49-F238E27FC236}">
              <a16:creationId xmlns:a16="http://schemas.microsoft.com/office/drawing/2014/main" id="{E1CD3984-1586-47C7-8662-D7435E0DCEBB}"/>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87" name="Rectangle 335">
          <a:extLst>
            <a:ext uri="{FF2B5EF4-FFF2-40B4-BE49-F238E27FC236}">
              <a16:creationId xmlns:a16="http://schemas.microsoft.com/office/drawing/2014/main" id="{F8D17E03-9238-4A9C-A3E8-98EE54D0AEA0}"/>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88" name="Rectangle 336">
          <a:extLst>
            <a:ext uri="{FF2B5EF4-FFF2-40B4-BE49-F238E27FC236}">
              <a16:creationId xmlns:a16="http://schemas.microsoft.com/office/drawing/2014/main" id="{96AF92DC-9348-4074-9CD8-605CD2332A9E}"/>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89" name="Rectangle 337">
          <a:extLst>
            <a:ext uri="{FF2B5EF4-FFF2-40B4-BE49-F238E27FC236}">
              <a16:creationId xmlns:a16="http://schemas.microsoft.com/office/drawing/2014/main" id="{EB60ACD4-4CFA-4236-8595-4EDE01437A14}"/>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90" name="Rectangle 338">
          <a:extLst>
            <a:ext uri="{FF2B5EF4-FFF2-40B4-BE49-F238E27FC236}">
              <a16:creationId xmlns:a16="http://schemas.microsoft.com/office/drawing/2014/main" id="{002A8F1B-F1F0-4CCD-AD37-6F5A8EB374FE}"/>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91" name="Rectangle 339">
          <a:extLst>
            <a:ext uri="{FF2B5EF4-FFF2-40B4-BE49-F238E27FC236}">
              <a16:creationId xmlns:a16="http://schemas.microsoft.com/office/drawing/2014/main" id="{DB77F889-C530-4DD2-936A-D8530BFDB381}"/>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92" name="Rectangle 340">
          <a:extLst>
            <a:ext uri="{FF2B5EF4-FFF2-40B4-BE49-F238E27FC236}">
              <a16:creationId xmlns:a16="http://schemas.microsoft.com/office/drawing/2014/main" id="{C88CC645-08B4-4552-B668-3C5B38066C01}"/>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93" name="Rectangle 341">
          <a:extLst>
            <a:ext uri="{FF2B5EF4-FFF2-40B4-BE49-F238E27FC236}">
              <a16:creationId xmlns:a16="http://schemas.microsoft.com/office/drawing/2014/main" id="{ED69E3E2-E7B6-45FD-AEDA-DA3E45E61FF4}"/>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94" name="Rectangle 342">
          <a:extLst>
            <a:ext uri="{FF2B5EF4-FFF2-40B4-BE49-F238E27FC236}">
              <a16:creationId xmlns:a16="http://schemas.microsoft.com/office/drawing/2014/main" id="{FC618B04-5168-4D18-8133-9EB3A89B742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95" name="Rectangle 343">
          <a:extLst>
            <a:ext uri="{FF2B5EF4-FFF2-40B4-BE49-F238E27FC236}">
              <a16:creationId xmlns:a16="http://schemas.microsoft.com/office/drawing/2014/main" id="{F90F0765-C901-4D49-987B-DDC248C79442}"/>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96" name="Rectangle 344">
          <a:extLst>
            <a:ext uri="{FF2B5EF4-FFF2-40B4-BE49-F238E27FC236}">
              <a16:creationId xmlns:a16="http://schemas.microsoft.com/office/drawing/2014/main" id="{90B35814-027F-4FD9-8040-E46EB948EC07}"/>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97" name="Rectangle 345">
          <a:extLst>
            <a:ext uri="{FF2B5EF4-FFF2-40B4-BE49-F238E27FC236}">
              <a16:creationId xmlns:a16="http://schemas.microsoft.com/office/drawing/2014/main" id="{7A66F3F6-4197-4645-82D8-82CECC30FC8B}"/>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98" name="Rectangle 346">
          <a:extLst>
            <a:ext uri="{FF2B5EF4-FFF2-40B4-BE49-F238E27FC236}">
              <a16:creationId xmlns:a16="http://schemas.microsoft.com/office/drawing/2014/main" id="{2152FDE1-D53B-44D3-8F10-56E2CB804A21}"/>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99" name="Rectangle 347">
          <a:extLst>
            <a:ext uri="{FF2B5EF4-FFF2-40B4-BE49-F238E27FC236}">
              <a16:creationId xmlns:a16="http://schemas.microsoft.com/office/drawing/2014/main" id="{64867EBC-E79B-4C25-8077-7A83C5837C1F}"/>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00" name="Rectangle 348">
          <a:extLst>
            <a:ext uri="{FF2B5EF4-FFF2-40B4-BE49-F238E27FC236}">
              <a16:creationId xmlns:a16="http://schemas.microsoft.com/office/drawing/2014/main" id="{C32DCFC9-F1F9-4BF3-A796-C9EFE501B66E}"/>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01" name="Rectangle 349">
          <a:extLst>
            <a:ext uri="{FF2B5EF4-FFF2-40B4-BE49-F238E27FC236}">
              <a16:creationId xmlns:a16="http://schemas.microsoft.com/office/drawing/2014/main" id="{B96B0DD4-0AAB-44D8-93FB-F31C868D04AA}"/>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02" name="Rectangle 350">
          <a:extLst>
            <a:ext uri="{FF2B5EF4-FFF2-40B4-BE49-F238E27FC236}">
              <a16:creationId xmlns:a16="http://schemas.microsoft.com/office/drawing/2014/main" id="{A6F70AFC-506C-40B5-9668-122DCE5553B3}"/>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314</xdr:row>
      <xdr:rowOff>0</xdr:rowOff>
    </xdr:from>
    <xdr:ext cx="28854" cy="132665"/>
    <xdr:sp macro="" textlink="" fLocksText="0">
      <xdr:nvSpPr>
        <xdr:cNvPr id="103" name="Rectangle 351">
          <a:extLst>
            <a:ext uri="{FF2B5EF4-FFF2-40B4-BE49-F238E27FC236}">
              <a16:creationId xmlns:a16="http://schemas.microsoft.com/office/drawing/2014/main" id="{7AD3DCD6-2B23-4D49-A594-44E05D563C69}"/>
            </a:ext>
          </a:extLst>
        </xdr:cNvPr>
        <xdr:cNvSpPr>
          <a:spLocks noChangeArrowheads="1"/>
        </xdr:cNvSpPr>
      </xdr:nvSpPr>
      <xdr:spPr bwMode="auto">
        <a:xfrm>
          <a:off x="3810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04" name="Rectangle 352">
          <a:extLst>
            <a:ext uri="{FF2B5EF4-FFF2-40B4-BE49-F238E27FC236}">
              <a16:creationId xmlns:a16="http://schemas.microsoft.com/office/drawing/2014/main" id="{A938E1FC-0B70-4627-9DB1-0AA3E3E3F195}"/>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05" name="Rectangle 353">
          <a:extLst>
            <a:ext uri="{FF2B5EF4-FFF2-40B4-BE49-F238E27FC236}">
              <a16:creationId xmlns:a16="http://schemas.microsoft.com/office/drawing/2014/main" id="{B786A52A-8EBE-4B34-86D0-09038B6C9ED2}"/>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06" name="Rectangle 354">
          <a:extLst>
            <a:ext uri="{FF2B5EF4-FFF2-40B4-BE49-F238E27FC236}">
              <a16:creationId xmlns:a16="http://schemas.microsoft.com/office/drawing/2014/main" id="{2C59BEFD-0B37-4A5F-A602-61DF94BA1389}"/>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07" name="Rectangle 355">
          <a:extLst>
            <a:ext uri="{FF2B5EF4-FFF2-40B4-BE49-F238E27FC236}">
              <a16:creationId xmlns:a16="http://schemas.microsoft.com/office/drawing/2014/main" id="{402B0D7D-19BC-4030-A6AE-437F0E0BC1F4}"/>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08" name="Rectangle 356">
          <a:extLst>
            <a:ext uri="{FF2B5EF4-FFF2-40B4-BE49-F238E27FC236}">
              <a16:creationId xmlns:a16="http://schemas.microsoft.com/office/drawing/2014/main" id="{B5D3B90E-9282-4A04-B49A-5E2C1E10218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09" name="Rectangle 357">
          <a:extLst>
            <a:ext uri="{FF2B5EF4-FFF2-40B4-BE49-F238E27FC236}">
              <a16:creationId xmlns:a16="http://schemas.microsoft.com/office/drawing/2014/main" id="{4B963238-AEE8-44EA-8B68-DD493DFC7F49}"/>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10" name="Rectangle 358">
          <a:extLst>
            <a:ext uri="{FF2B5EF4-FFF2-40B4-BE49-F238E27FC236}">
              <a16:creationId xmlns:a16="http://schemas.microsoft.com/office/drawing/2014/main" id="{02CF6873-243C-4960-A29A-3D97468F229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11" name="Rectangle 359">
          <a:extLst>
            <a:ext uri="{FF2B5EF4-FFF2-40B4-BE49-F238E27FC236}">
              <a16:creationId xmlns:a16="http://schemas.microsoft.com/office/drawing/2014/main" id="{3C4AABB8-6704-4BB7-BBAB-76F0D84C6A1E}"/>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12" name="Rectangle 360">
          <a:extLst>
            <a:ext uri="{FF2B5EF4-FFF2-40B4-BE49-F238E27FC236}">
              <a16:creationId xmlns:a16="http://schemas.microsoft.com/office/drawing/2014/main" id="{0657160B-3B30-43CF-A2BC-BA74969E5796}"/>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13" name="Rectangle 361">
          <a:extLst>
            <a:ext uri="{FF2B5EF4-FFF2-40B4-BE49-F238E27FC236}">
              <a16:creationId xmlns:a16="http://schemas.microsoft.com/office/drawing/2014/main" id="{EC38EBC0-58D0-4CE2-8E94-CB2824621022}"/>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14" name="Rectangle 362">
          <a:extLst>
            <a:ext uri="{FF2B5EF4-FFF2-40B4-BE49-F238E27FC236}">
              <a16:creationId xmlns:a16="http://schemas.microsoft.com/office/drawing/2014/main" id="{E482E360-E8E3-4D28-B466-95A5D8859EA4}"/>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15" name="Rectangle 363">
          <a:extLst>
            <a:ext uri="{FF2B5EF4-FFF2-40B4-BE49-F238E27FC236}">
              <a16:creationId xmlns:a16="http://schemas.microsoft.com/office/drawing/2014/main" id="{86E4C1A9-3120-4672-8845-EDA11C6768A5}"/>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314</xdr:row>
      <xdr:rowOff>0</xdr:rowOff>
    </xdr:from>
    <xdr:ext cx="28854" cy="132665"/>
    <xdr:sp macro="" textlink="" fLocksText="0">
      <xdr:nvSpPr>
        <xdr:cNvPr id="116" name="Rectangle 364">
          <a:extLst>
            <a:ext uri="{FF2B5EF4-FFF2-40B4-BE49-F238E27FC236}">
              <a16:creationId xmlns:a16="http://schemas.microsoft.com/office/drawing/2014/main" id="{5CE9C610-9AF5-4680-90BB-4A89C3042062}"/>
            </a:ext>
          </a:extLst>
        </xdr:cNvPr>
        <xdr:cNvSpPr>
          <a:spLocks noChangeArrowheads="1"/>
        </xdr:cNvSpPr>
      </xdr:nvSpPr>
      <xdr:spPr bwMode="auto">
        <a:xfrm>
          <a:off x="3810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17" name="Rectangle 365">
          <a:extLst>
            <a:ext uri="{FF2B5EF4-FFF2-40B4-BE49-F238E27FC236}">
              <a16:creationId xmlns:a16="http://schemas.microsoft.com/office/drawing/2014/main" id="{547C280E-AD21-4806-9A81-640B3528F49E}"/>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18" name="Rectangle 366">
          <a:extLst>
            <a:ext uri="{FF2B5EF4-FFF2-40B4-BE49-F238E27FC236}">
              <a16:creationId xmlns:a16="http://schemas.microsoft.com/office/drawing/2014/main" id="{6139130C-2172-42EC-8BBE-84B7C89581BA}"/>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19" name="Rectangle 367">
          <a:extLst>
            <a:ext uri="{FF2B5EF4-FFF2-40B4-BE49-F238E27FC236}">
              <a16:creationId xmlns:a16="http://schemas.microsoft.com/office/drawing/2014/main" id="{E6D6F05F-2E7F-40A9-928D-B880393015FC}"/>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20" name="Rectangle 368">
          <a:extLst>
            <a:ext uri="{FF2B5EF4-FFF2-40B4-BE49-F238E27FC236}">
              <a16:creationId xmlns:a16="http://schemas.microsoft.com/office/drawing/2014/main" id="{E149C208-25E1-4B6D-B9EC-838E2BCC05B5}"/>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21" name="Rectangle 369">
          <a:extLst>
            <a:ext uri="{FF2B5EF4-FFF2-40B4-BE49-F238E27FC236}">
              <a16:creationId xmlns:a16="http://schemas.microsoft.com/office/drawing/2014/main" id="{45191C01-F5FD-485D-BE29-46E44C4BE1B5}"/>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22" name="Rectangle 370">
          <a:extLst>
            <a:ext uri="{FF2B5EF4-FFF2-40B4-BE49-F238E27FC236}">
              <a16:creationId xmlns:a16="http://schemas.microsoft.com/office/drawing/2014/main" id="{D1CB1BD3-9FED-4FAE-9EF1-283D131E7FCC}"/>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23" name="Rectangle 371">
          <a:extLst>
            <a:ext uri="{FF2B5EF4-FFF2-40B4-BE49-F238E27FC236}">
              <a16:creationId xmlns:a16="http://schemas.microsoft.com/office/drawing/2014/main" id="{DD1D9460-6DA6-4967-ACDE-E062EE05535E}"/>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24" name="Rectangle 372">
          <a:extLst>
            <a:ext uri="{FF2B5EF4-FFF2-40B4-BE49-F238E27FC236}">
              <a16:creationId xmlns:a16="http://schemas.microsoft.com/office/drawing/2014/main" id="{5B3F6E6E-D323-4E8E-A22A-5C51F062F85B}"/>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25" name="Rectangle 373">
          <a:extLst>
            <a:ext uri="{FF2B5EF4-FFF2-40B4-BE49-F238E27FC236}">
              <a16:creationId xmlns:a16="http://schemas.microsoft.com/office/drawing/2014/main" id="{9DEA403F-63A3-4621-A992-629B3E83D799}"/>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26" name="Rectangle 374">
          <a:extLst>
            <a:ext uri="{FF2B5EF4-FFF2-40B4-BE49-F238E27FC236}">
              <a16:creationId xmlns:a16="http://schemas.microsoft.com/office/drawing/2014/main" id="{35953D0C-EA38-45FD-9B85-7282E220E23F}"/>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27" name="Rectangle 375">
          <a:extLst>
            <a:ext uri="{FF2B5EF4-FFF2-40B4-BE49-F238E27FC236}">
              <a16:creationId xmlns:a16="http://schemas.microsoft.com/office/drawing/2014/main" id="{D53671D7-F7C0-4788-9F7C-38F2BEB4B23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28" name="Rectangle 376">
          <a:extLst>
            <a:ext uri="{FF2B5EF4-FFF2-40B4-BE49-F238E27FC236}">
              <a16:creationId xmlns:a16="http://schemas.microsoft.com/office/drawing/2014/main" id="{E2CB0BCC-384B-44AE-957F-61852603AB14}"/>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29" name="Rectangle 377">
          <a:extLst>
            <a:ext uri="{FF2B5EF4-FFF2-40B4-BE49-F238E27FC236}">
              <a16:creationId xmlns:a16="http://schemas.microsoft.com/office/drawing/2014/main" id="{8790D6C2-3BFE-4CFC-80E6-1153857B0E2E}"/>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30" name="Rectangle 378">
          <a:extLst>
            <a:ext uri="{FF2B5EF4-FFF2-40B4-BE49-F238E27FC236}">
              <a16:creationId xmlns:a16="http://schemas.microsoft.com/office/drawing/2014/main" id="{0BDD4F53-791E-4F37-AE43-58ED78D90284}"/>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31" name="Rectangle 379">
          <a:extLst>
            <a:ext uri="{FF2B5EF4-FFF2-40B4-BE49-F238E27FC236}">
              <a16:creationId xmlns:a16="http://schemas.microsoft.com/office/drawing/2014/main" id="{FB47E6E7-82FD-45E9-A74D-D6AC7472BD0A}"/>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32" name="Rectangle 380">
          <a:extLst>
            <a:ext uri="{FF2B5EF4-FFF2-40B4-BE49-F238E27FC236}">
              <a16:creationId xmlns:a16="http://schemas.microsoft.com/office/drawing/2014/main" id="{6F451E56-15B0-413C-9748-316733D350DB}"/>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33" name="Rectangle 381">
          <a:extLst>
            <a:ext uri="{FF2B5EF4-FFF2-40B4-BE49-F238E27FC236}">
              <a16:creationId xmlns:a16="http://schemas.microsoft.com/office/drawing/2014/main" id="{F4FC4505-C832-40CE-A5B8-FB10B4F0D9B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34" name="Rectangle 382">
          <a:extLst>
            <a:ext uri="{FF2B5EF4-FFF2-40B4-BE49-F238E27FC236}">
              <a16:creationId xmlns:a16="http://schemas.microsoft.com/office/drawing/2014/main" id="{848FFCF0-2E4A-496C-AE21-FD4687170F8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314</xdr:row>
      <xdr:rowOff>0</xdr:rowOff>
    </xdr:from>
    <xdr:ext cx="28854" cy="132665"/>
    <xdr:sp macro="" textlink="" fLocksText="0">
      <xdr:nvSpPr>
        <xdr:cNvPr id="135" name="Rectangle 383">
          <a:extLst>
            <a:ext uri="{FF2B5EF4-FFF2-40B4-BE49-F238E27FC236}">
              <a16:creationId xmlns:a16="http://schemas.microsoft.com/office/drawing/2014/main" id="{2EDA3C58-655D-45E1-A577-5AF018A35E88}"/>
            </a:ext>
          </a:extLst>
        </xdr:cNvPr>
        <xdr:cNvSpPr>
          <a:spLocks noChangeArrowheads="1"/>
        </xdr:cNvSpPr>
      </xdr:nvSpPr>
      <xdr:spPr bwMode="auto">
        <a:xfrm>
          <a:off x="3810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36" name="Rectangle 384">
          <a:extLst>
            <a:ext uri="{FF2B5EF4-FFF2-40B4-BE49-F238E27FC236}">
              <a16:creationId xmlns:a16="http://schemas.microsoft.com/office/drawing/2014/main" id="{E7D9BF99-F8EF-4929-A706-012F209D6DD5}"/>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37" name="Rectangle 385">
          <a:extLst>
            <a:ext uri="{FF2B5EF4-FFF2-40B4-BE49-F238E27FC236}">
              <a16:creationId xmlns:a16="http://schemas.microsoft.com/office/drawing/2014/main" id="{F44EBCBB-0FFF-48D5-BD98-5F95B97428DB}"/>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38" name="Rectangle 386">
          <a:extLst>
            <a:ext uri="{FF2B5EF4-FFF2-40B4-BE49-F238E27FC236}">
              <a16:creationId xmlns:a16="http://schemas.microsoft.com/office/drawing/2014/main" id="{75DF1FE0-CBDC-46BC-B15E-00C92421C335}"/>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39" name="Rectangle 387">
          <a:extLst>
            <a:ext uri="{FF2B5EF4-FFF2-40B4-BE49-F238E27FC236}">
              <a16:creationId xmlns:a16="http://schemas.microsoft.com/office/drawing/2014/main" id="{C6E4A215-2BDE-4DA3-82C8-2B686B596E4A}"/>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40" name="Rectangle 388">
          <a:extLst>
            <a:ext uri="{FF2B5EF4-FFF2-40B4-BE49-F238E27FC236}">
              <a16:creationId xmlns:a16="http://schemas.microsoft.com/office/drawing/2014/main" id="{2D749E67-5F66-4238-A698-21E60DB17E64}"/>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41" name="Rectangle 389">
          <a:extLst>
            <a:ext uri="{FF2B5EF4-FFF2-40B4-BE49-F238E27FC236}">
              <a16:creationId xmlns:a16="http://schemas.microsoft.com/office/drawing/2014/main" id="{3BD0DB20-9F7C-4BC8-8EFF-F439D9611674}"/>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42" name="Rectangle 390">
          <a:extLst>
            <a:ext uri="{FF2B5EF4-FFF2-40B4-BE49-F238E27FC236}">
              <a16:creationId xmlns:a16="http://schemas.microsoft.com/office/drawing/2014/main" id="{4C97DE60-E6A5-4E4F-9184-1269632F86E4}"/>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43" name="Rectangle 391">
          <a:extLst>
            <a:ext uri="{FF2B5EF4-FFF2-40B4-BE49-F238E27FC236}">
              <a16:creationId xmlns:a16="http://schemas.microsoft.com/office/drawing/2014/main" id="{79936AE7-1C50-40B0-80B0-37B0331340A3}"/>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44" name="Rectangle 392">
          <a:extLst>
            <a:ext uri="{FF2B5EF4-FFF2-40B4-BE49-F238E27FC236}">
              <a16:creationId xmlns:a16="http://schemas.microsoft.com/office/drawing/2014/main" id="{83FB9A45-EDF9-4906-BF79-D0FE0927BF80}"/>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45" name="Rectangle 393">
          <a:extLst>
            <a:ext uri="{FF2B5EF4-FFF2-40B4-BE49-F238E27FC236}">
              <a16:creationId xmlns:a16="http://schemas.microsoft.com/office/drawing/2014/main" id="{25E6761B-B43D-41A6-9A36-20E74F57FF7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46" name="Rectangle 394">
          <a:extLst>
            <a:ext uri="{FF2B5EF4-FFF2-40B4-BE49-F238E27FC236}">
              <a16:creationId xmlns:a16="http://schemas.microsoft.com/office/drawing/2014/main" id="{1A3E7F7F-A331-4040-9531-8D49AEA5B77C}"/>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47" name="Rectangle 395">
          <a:extLst>
            <a:ext uri="{FF2B5EF4-FFF2-40B4-BE49-F238E27FC236}">
              <a16:creationId xmlns:a16="http://schemas.microsoft.com/office/drawing/2014/main" id="{35FF3A44-46E4-400C-A3B5-AE1FFD657081}"/>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48" name="Rectangle 396">
          <a:extLst>
            <a:ext uri="{FF2B5EF4-FFF2-40B4-BE49-F238E27FC236}">
              <a16:creationId xmlns:a16="http://schemas.microsoft.com/office/drawing/2014/main" id="{0E86A31B-A9DE-447F-B4ED-92B25DFB3832}"/>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49" name="Rectangle 397">
          <a:extLst>
            <a:ext uri="{FF2B5EF4-FFF2-40B4-BE49-F238E27FC236}">
              <a16:creationId xmlns:a16="http://schemas.microsoft.com/office/drawing/2014/main" id="{BB0680B8-FF07-4CBC-B409-42FA615BA4E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50" name="Rectangle 398">
          <a:extLst>
            <a:ext uri="{FF2B5EF4-FFF2-40B4-BE49-F238E27FC236}">
              <a16:creationId xmlns:a16="http://schemas.microsoft.com/office/drawing/2014/main" id="{A2765A11-BD14-4576-A908-140DA5A8CD14}"/>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51" name="Rectangle 399">
          <a:extLst>
            <a:ext uri="{FF2B5EF4-FFF2-40B4-BE49-F238E27FC236}">
              <a16:creationId xmlns:a16="http://schemas.microsoft.com/office/drawing/2014/main" id="{CCDB670F-4CF4-4A3E-BDDF-8ABF514495CE}"/>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52" name="Rectangle 400">
          <a:extLst>
            <a:ext uri="{FF2B5EF4-FFF2-40B4-BE49-F238E27FC236}">
              <a16:creationId xmlns:a16="http://schemas.microsoft.com/office/drawing/2014/main" id="{AAF0FA9B-4E99-48E3-9BB8-3F1C8516683C}"/>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53" name="Rectangle 401">
          <a:extLst>
            <a:ext uri="{FF2B5EF4-FFF2-40B4-BE49-F238E27FC236}">
              <a16:creationId xmlns:a16="http://schemas.microsoft.com/office/drawing/2014/main" id="{065856ED-9B66-4F68-A32B-F9B561C8E45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54" name="Rectangle 402">
          <a:extLst>
            <a:ext uri="{FF2B5EF4-FFF2-40B4-BE49-F238E27FC236}">
              <a16:creationId xmlns:a16="http://schemas.microsoft.com/office/drawing/2014/main" id="{A17D1BE0-BC4B-488A-B317-E305B0AEFEBE}"/>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55" name="Rectangle 403">
          <a:extLst>
            <a:ext uri="{FF2B5EF4-FFF2-40B4-BE49-F238E27FC236}">
              <a16:creationId xmlns:a16="http://schemas.microsoft.com/office/drawing/2014/main" id="{7520A09C-CD0F-4026-B7BB-09E2B9FE22E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56" name="Rectangle 404">
          <a:extLst>
            <a:ext uri="{FF2B5EF4-FFF2-40B4-BE49-F238E27FC236}">
              <a16:creationId xmlns:a16="http://schemas.microsoft.com/office/drawing/2014/main" id="{2E5C72AD-6A68-4C15-BC35-F5D97FFEF65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57" name="Rectangle 405">
          <a:extLst>
            <a:ext uri="{FF2B5EF4-FFF2-40B4-BE49-F238E27FC236}">
              <a16:creationId xmlns:a16="http://schemas.microsoft.com/office/drawing/2014/main" id="{D69D9CBD-5097-47BB-B9E4-050F0979EF15}"/>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58" name="Rectangle 406">
          <a:extLst>
            <a:ext uri="{FF2B5EF4-FFF2-40B4-BE49-F238E27FC236}">
              <a16:creationId xmlns:a16="http://schemas.microsoft.com/office/drawing/2014/main" id="{C7CBE17F-A0BA-4714-9D26-0793CAF0D6B3}"/>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59" name="Rectangle 407">
          <a:extLst>
            <a:ext uri="{FF2B5EF4-FFF2-40B4-BE49-F238E27FC236}">
              <a16:creationId xmlns:a16="http://schemas.microsoft.com/office/drawing/2014/main" id="{D308AFD7-72DE-41FB-BAF4-517C4FAB6A75}"/>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314</xdr:row>
      <xdr:rowOff>0</xdr:rowOff>
    </xdr:from>
    <xdr:ext cx="28854" cy="132665"/>
    <xdr:sp macro="" textlink="" fLocksText="0">
      <xdr:nvSpPr>
        <xdr:cNvPr id="160" name="Rectangle 408">
          <a:extLst>
            <a:ext uri="{FF2B5EF4-FFF2-40B4-BE49-F238E27FC236}">
              <a16:creationId xmlns:a16="http://schemas.microsoft.com/office/drawing/2014/main" id="{71122092-748E-43DB-AF73-0C56F7DD336B}"/>
            </a:ext>
          </a:extLst>
        </xdr:cNvPr>
        <xdr:cNvSpPr>
          <a:spLocks noChangeArrowheads="1"/>
        </xdr:cNvSpPr>
      </xdr:nvSpPr>
      <xdr:spPr bwMode="auto">
        <a:xfrm>
          <a:off x="3810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61" name="Rectangle 409">
          <a:extLst>
            <a:ext uri="{FF2B5EF4-FFF2-40B4-BE49-F238E27FC236}">
              <a16:creationId xmlns:a16="http://schemas.microsoft.com/office/drawing/2014/main" id="{6D54865D-3AFF-4575-ADC8-065BD7E856C2}"/>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62" name="Rectangle 410">
          <a:extLst>
            <a:ext uri="{FF2B5EF4-FFF2-40B4-BE49-F238E27FC236}">
              <a16:creationId xmlns:a16="http://schemas.microsoft.com/office/drawing/2014/main" id="{EC1F235B-9DCE-44F3-B12C-2FCD67A2FBF5}"/>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63" name="Rectangle 411">
          <a:extLst>
            <a:ext uri="{FF2B5EF4-FFF2-40B4-BE49-F238E27FC236}">
              <a16:creationId xmlns:a16="http://schemas.microsoft.com/office/drawing/2014/main" id="{CE4584A3-D5D6-4861-849B-467B415B57D9}"/>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64" name="Rectangle 412">
          <a:extLst>
            <a:ext uri="{FF2B5EF4-FFF2-40B4-BE49-F238E27FC236}">
              <a16:creationId xmlns:a16="http://schemas.microsoft.com/office/drawing/2014/main" id="{EFBAC1EB-B9EB-49F8-ADC1-E1970A48A180}"/>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65" name="Rectangle 413">
          <a:extLst>
            <a:ext uri="{FF2B5EF4-FFF2-40B4-BE49-F238E27FC236}">
              <a16:creationId xmlns:a16="http://schemas.microsoft.com/office/drawing/2014/main" id="{14D543E8-734F-4FFC-A0B0-639905D4ED92}"/>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66" name="Rectangle 414">
          <a:extLst>
            <a:ext uri="{FF2B5EF4-FFF2-40B4-BE49-F238E27FC236}">
              <a16:creationId xmlns:a16="http://schemas.microsoft.com/office/drawing/2014/main" id="{3343F40C-EE7F-4EEF-B75D-D798C6FFEC4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67" name="Rectangle 415">
          <a:extLst>
            <a:ext uri="{FF2B5EF4-FFF2-40B4-BE49-F238E27FC236}">
              <a16:creationId xmlns:a16="http://schemas.microsoft.com/office/drawing/2014/main" id="{A6E9A846-9C80-4F68-AD37-EDEBEDFF592F}"/>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68" name="Rectangle 416">
          <a:extLst>
            <a:ext uri="{FF2B5EF4-FFF2-40B4-BE49-F238E27FC236}">
              <a16:creationId xmlns:a16="http://schemas.microsoft.com/office/drawing/2014/main" id="{0EB6B7E0-3022-4F57-8E0F-FEA320CD9190}"/>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69" name="Rectangle 417">
          <a:extLst>
            <a:ext uri="{FF2B5EF4-FFF2-40B4-BE49-F238E27FC236}">
              <a16:creationId xmlns:a16="http://schemas.microsoft.com/office/drawing/2014/main" id="{1B997D1F-2B84-450A-BDA0-0CB4EBE7FEA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70" name="Rectangle 418">
          <a:extLst>
            <a:ext uri="{FF2B5EF4-FFF2-40B4-BE49-F238E27FC236}">
              <a16:creationId xmlns:a16="http://schemas.microsoft.com/office/drawing/2014/main" id="{F4AA3AA8-FBD9-47A1-A7C5-529BC6BDB11C}"/>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71" name="Rectangle 419">
          <a:extLst>
            <a:ext uri="{FF2B5EF4-FFF2-40B4-BE49-F238E27FC236}">
              <a16:creationId xmlns:a16="http://schemas.microsoft.com/office/drawing/2014/main" id="{063E945C-FB48-423A-BDB6-5D321B19367B}"/>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72" name="Rectangle 420">
          <a:extLst>
            <a:ext uri="{FF2B5EF4-FFF2-40B4-BE49-F238E27FC236}">
              <a16:creationId xmlns:a16="http://schemas.microsoft.com/office/drawing/2014/main" id="{D33D461E-DE49-42F8-B1E7-E6885427677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73" name="Rectangle 421">
          <a:extLst>
            <a:ext uri="{FF2B5EF4-FFF2-40B4-BE49-F238E27FC236}">
              <a16:creationId xmlns:a16="http://schemas.microsoft.com/office/drawing/2014/main" id="{4F5C5514-6E30-43B1-96C7-96B9E7ED4269}"/>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74" name="Rectangle 422">
          <a:extLst>
            <a:ext uri="{FF2B5EF4-FFF2-40B4-BE49-F238E27FC236}">
              <a16:creationId xmlns:a16="http://schemas.microsoft.com/office/drawing/2014/main" id="{F9A25573-3D90-4665-B150-08D3B00C88B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75" name="Rectangle 423">
          <a:extLst>
            <a:ext uri="{FF2B5EF4-FFF2-40B4-BE49-F238E27FC236}">
              <a16:creationId xmlns:a16="http://schemas.microsoft.com/office/drawing/2014/main" id="{BBBA52BC-7E96-4233-883E-5A3CA836157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76" name="Rectangle 424">
          <a:extLst>
            <a:ext uri="{FF2B5EF4-FFF2-40B4-BE49-F238E27FC236}">
              <a16:creationId xmlns:a16="http://schemas.microsoft.com/office/drawing/2014/main" id="{8472E919-E2BF-42A8-8560-0B24E4A197A4}"/>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77" name="Rectangle 425">
          <a:extLst>
            <a:ext uri="{FF2B5EF4-FFF2-40B4-BE49-F238E27FC236}">
              <a16:creationId xmlns:a16="http://schemas.microsoft.com/office/drawing/2014/main" id="{4BF5F04D-E618-4968-A41E-6ADA4C867A9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78" name="Rectangle 426">
          <a:extLst>
            <a:ext uri="{FF2B5EF4-FFF2-40B4-BE49-F238E27FC236}">
              <a16:creationId xmlns:a16="http://schemas.microsoft.com/office/drawing/2014/main" id="{44E1E11E-4E90-474D-908A-7A12709CDA10}"/>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314</xdr:row>
      <xdr:rowOff>0</xdr:rowOff>
    </xdr:from>
    <xdr:ext cx="28854" cy="132665"/>
    <xdr:sp macro="" textlink="" fLocksText="0">
      <xdr:nvSpPr>
        <xdr:cNvPr id="179" name="Rectangle 427">
          <a:extLst>
            <a:ext uri="{FF2B5EF4-FFF2-40B4-BE49-F238E27FC236}">
              <a16:creationId xmlns:a16="http://schemas.microsoft.com/office/drawing/2014/main" id="{C88AE6F1-2E92-4B29-ADCD-799DBBBD778F}"/>
            </a:ext>
          </a:extLst>
        </xdr:cNvPr>
        <xdr:cNvSpPr>
          <a:spLocks noChangeArrowheads="1"/>
        </xdr:cNvSpPr>
      </xdr:nvSpPr>
      <xdr:spPr bwMode="auto">
        <a:xfrm>
          <a:off x="3810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80" name="Rectangle 428">
          <a:extLst>
            <a:ext uri="{FF2B5EF4-FFF2-40B4-BE49-F238E27FC236}">
              <a16:creationId xmlns:a16="http://schemas.microsoft.com/office/drawing/2014/main" id="{9FECED3C-E3E1-446A-B1FC-02C56D81E1FF}"/>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81" name="Rectangle 429">
          <a:extLst>
            <a:ext uri="{FF2B5EF4-FFF2-40B4-BE49-F238E27FC236}">
              <a16:creationId xmlns:a16="http://schemas.microsoft.com/office/drawing/2014/main" id="{71175CB6-2405-4E86-9F99-72D1E0121F2A}"/>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82" name="Rectangle 430">
          <a:extLst>
            <a:ext uri="{FF2B5EF4-FFF2-40B4-BE49-F238E27FC236}">
              <a16:creationId xmlns:a16="http://schemas.microsoft.com/office/drawing/2014/main" id="{71447AA1-9619-45A1-B446-7975EF1B50D9}"/>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83" name="Rectangle 431">
          <a:extLst>
            <a:ext uri="{FF2B5EF4-FFF2-40B4-BE49-F238E27FC236}">
              <a16:creationId xmlns:a16="http://schemas.microsoft.com/office/drawing/2014/main" id="{EBD6047C-6179-46D2-9CF7-CECC0F43982D}"/>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84" name="Rectangle 432">
          <a:extLst>
            <a:ext uri="{FF2B5EF4-FFF2-40B4-BE49-F238E27FC236}">
              <a16:creationId xmlns:a16="http://schemas.microsoft.com/office/drawing/2014/main" id="{F8AE6472-7598-47A1-A58D-394AF1F44F29}"/>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85" name="Rectangle 433">
          <a:extLst>
            <a:ext uri="{FF2B5EF4-FFF2-40B4-BE49-F238E27FC236}">
              <a16:creationId xmlns:a16="http://schemas.microsoft.com/office/drawing/2014/main" id="{82CC48C0-3E82-49CA-90ED-A136F7AC6CAF}"/>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314</xdr:row>
      <xdr:rowOff>0</xdr:rowOff>
    </xdr:from>
    <xdr:ext cx="28854" cy="132665"/>
    <xdr:sp macro="" textlink="" fLocksText="0">
      <xdr:nvSpPr>
        <xdr:cNvPr id="186" name="Rectangle 434">
          <a:extLst>
            <a:ext uri="{FF2B5EF4-FFF2-40B4-BE49-F238E27FC236}">
              <a16:creationId xmlns:a16="http://schemas.microsoft.com/office/drawing/2014/main" id="{9AE2D7EB-8CC6-472D-A9DB-7280779CB3F3}"/>
            </a:ext>
          </a:extLst>
        </xdr:cNvPr>
        <xdr:cNvSpPr>
          <a:spLocks noChangeArrowheads="1"/>
        </xdr:cNvSpPr>
      </xdr:nvSpPr>
      <xdr:spPr bwMode="auto">
        <a:xfrm>
          <a:off x="3810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87" name="Rectangle 435">
          <a:extLst>
            <a:ext uri="{FF2B5EF4-FFF2-40B4-BE49-F238E27FC236}">
              <a16:creationId xmlns:a16="http://schemas.microsoft.com/office/drawing/2014/main" id="{DBC1BB5F-31AF-4265-A290-4039B4E3A70E}"/>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88" name="Rectangle 436">
          <a:extLst>
            <a:ext uri="{FF2B5EF4-FFF2-40B4-BE49-F238E27FC236}">
              <a16:creationId xmlns:a16="http://schemas.microsoft.com/office/drawing/2014/main" id="{0811646B-DF99-42BB-8B54-E074017386EB}"/>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89" name="Rectangle 437">
          <a:extLst>
            <a:ext uri="{FF2B5EF4-FFF2-40B4-BE49-F238E27FC236}">
              <a16:creationId xmlns:a16="http://schemas.microsoft.com/office/drawing/2014/main" id="{9B20A96B-A81E-41BA-893C-F7582A91F889}"/>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90" name="Rectangle 438">
          <a:extLst>
            <a:ext uri="{FF2B5EF4-FFF2-40B4-BE49-F238E27FC236}">
              <a16:creationId xmlns:a16="http://schemas.microsoft.com/office/drawing/2014/main" id="{E5ABA2B4-7623-4F38-AD6E-3923293C6080}"/>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91" name="Rectangle 439">
          <a:extLst>
            <a:ext uri="{FF2B5EF4-FFF2-40B4-BE49-F238E27FC236}">
              <a16:creationId xmlns:a16="http://schemas.microsoft.com/office/drawing/2014/main" id="{08138957-609E-4733-9C54-35245CC84EF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92" name="Rectangle 440">
          <a:extLst>
            <a:ext uri="{FF2B5EF4-FFF2-40B4-BE49-F238E27FC236}">
              <a16:creationId xmlns:a16="http://schemas.microsoft.com/office/drawing/2014/main" id="{DBDFF211-8F94-4DED-9CD7-2CB30E6FFC11}"/>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314</xdr:row>
      <xdr:rowOff>0</xdr:rowOff>
    </xdr:from>
    <xdr:ext cx="28854" cy="132665"/>
    <xdr:sp macro="" textlink="" fLocksText="0">
      <xdr:nvSpPr>
        <xdr:cNvPr id="193" name="Rectangle 441">
          <a:extLst>
            <a:ext uri="{FF2B5EF4-FFF2-40B4-BE49-F238E27FC236}">
              <a16:creationId xmlns:a16="http://schemas.microsoft.com/office/drawing/2014/main" id="{8D96C18A-FFF2-464B-900E-0DABC3AD63D4}"/>
            </a:ext>
          </a:extLst>
        </xdr:cNvPr>
        <xdr:cNvSpPr>
          <a:spLocks noChangeArrowheads="1"/>
        </xdr:cNvSpPr>
      </xdr:nvSpPr>
      <xdr:spPr bwMode="auto">
        <a:xfrm>
          <a:off x="3810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94" name="Rectangle 442">
          <a:extLst>
            <a:ext uri="{FF2B5EF4-FFF2-40B4-BE49-F238E27FC236}">
              <a16:creationId xmlns:a16="http://schemas.microsoft.com/office/drawing/2014/main" id="{3B8DD339-E7D9-4173-A46A-0A0865E2EA6C}"/>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95" name="Rectangle 443">
          <a:extLst>
            <a:ext uri="{FF2B5EF4-FFF2-40B4-BE49-F238E27FC236}">
              <a16:creationId xmlns:a16="http://schemas.microsoft.com/office/drawing/2014/main" id="{1431341D-64CA-4098-A7F2-6CFFA2007A30}"/>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96" name="Rectangle 444">
          <a:extLst>
            <a:ext uri="{FF2B5EF4-FFF2-40B4-BE49-F238E27FC236}">
              <a16:creationId xmlns:a16="http://schemas.microsoft.com/office/drawing/2014/main" id="{E6124C8D-0DD3-4650-99C4-47BF8B53A023}"/>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97" name="Rectangle 445">
          <a:extLst>
            <a:ext uri="{FF2B5EF4-FFF2-40B4-BE49-F238E27FC236}">
              <a16:creationId xmlns:a16="http://schemas.microsoft.com/office/drawing/2014/main" id="{A5E716CD-606D-4149-AB6E-73451415BA5B}"/>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98" name="Rectangle 446">
          <a:extLst>
            <a:ext uri="{FF2B5EF4-FFF2-40B4-BE49-F238E27FC236}">
              <a16:creationId xmlns:a16="http://schemas.microsoft.com/office/drawing/2014/main" id="{1C93AB21-A98D-448F-A51E-B73FADF0A348}"/>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199" name="Rectangle 447">
          <a:extLst>
            <a:ext uri="{FF2B5EF4-FFF2-40B4-BE49-F238E27FC236}">
              <a16:creationId xmlns:a16="http://schemas.microsoft.com/office/drawing/2014/main" id="{7FA40F1D-D450-49E8-9C51-C3FC3228F9B9}"/>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314</xdr:row>
      <xdr:rowOff>0</xdr:rowOff>
    </xdr:from>
    <xdr:ext cx="28854" cy="132665"/>
    <xdr:sp macro="" textlink="" fLocksText="0">
      <xdr:nvSpPr>
        <xdr:cNvPr id="200" name="Rectangle 448">
          <a:extLst>
            <a:ext uri="{FF2B5EF4-FFF2-40B4-BE49-F238E27FC236}">
              <a16:creationId xmlns:a16="http://schemas.microsoft.com/office/drawing/2014/main" id="{0E5E8523-6BC7-4681-AA76-2304521E24F2}"/>
            </a:ext>
          </a:extLst>
        </xdr:cNvPr>
        <xdr:cNvSpPr>
          <a:spLocks noChangeArrowheads="1"/>
        </xdr:cNvSpPr>
      </xdr:nvSpPr>
      <xdr:spPr bwMode="auto">
        <a:xfrm>
          <a:off x="3810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201" name="Rectangle 449">
          <a:extLst>
            <a:ext uri="{FF2B5EF4-FFF2-40B4-BE49-F238E27FC236}">
              <a16:creationId xmlns:a16="http://schemas.microsoft.com/office/drawing/2014/main" id="{D8970331-AB00-48D1-A555-52D4C6C9A1F5}"/>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202" name="Rectangle 450">
          <a:extLst>
            <a:ext uri="{FF2B5EF4-FFF2-40B4-BE49-F238E27FC236}">
              <a16:creationId xmlns:a16="http://schemas.microsoft.com/office/drawing/2014/main" id="{661EF675-5FC8-4705-A785-B8C982415209}"/>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203" name="Rectangle 451">
          <a:extLst>
            <a:ext uri="{FF2B5EF4-FFF2-40B4-BE49-F238E27FC236}">
              <a16:creationId xmlns:a16="http://schemas.microsoft.com/office/drawing/2014/main" id="{A54C942A-DAA7-4713-B6D3-AA8F374E2101}"/>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204" name="Rectangle 452">
          <a:extLst>
            <a:ext uri="{FF2B5EF4-FFF2-40B4-BE49-F238E27FC236}">
              <a16:creationId xmlns:a16="http://schemas.microsoft.com/office/drawing/2014/main" id="{2D9822C6-E21F-4669-82DC-CDAE031044A3}"/>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205" name="Rectangle 453">
          <a:extLst>
            <a:ext uri="{FF2B5EF4-FFF2-40B4-BE49-F238E27FC236}">
              <a16:creationId xmlns:a16="http://schemas.microsoft.com/office/drawing/2014/main" id="{DD542FBC-5B87-4103-A5DD-FE9987C03F59}"/>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314</xdr:row>
      <xdr:rowOff>0</xdr:rowOff>
    </xdr:from>
    <xdr:ext cx="28854" cy="132665"/>
    <xdr:sp macro="" textlink="" fLocksText="0">
      <xdr:nvSpPr>
        <xdr:cNvPr id="206" name="Rectangle 454">
          <a:extLst>
            <a:ext uri="{FF2B5EF4-FFF2-40B4-BE49-F238E27FC236}">
              <a16:creationId xmlns:a16="http://schemas.microsoft.com/office/drawing/2014/main" id="{2FEAF43F-A92B-409A-8C58-85A7B81A2C55}"/>
            </a:ext>
          </a:extLst>
        </xdr:cNvPr>
        <xdr:cNvSpPr>
          <a:spLocks noChangeArrowheads="1"/>
        </xdr:cNvSpPr>
      </xdr:nvSpPr>
      <xdr:spPr bwMode="auto">
        <a:xfrm>
          <a:off x="19050" y="5261610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84731" cy="264560"/>
    <xdr:sp macro="" textlink="">
      <xdr:nvSpPr>
        <xdr:cNvPr id="2" name="TextBox 5">
          <a:extLst>
            <a:ext uri="{FF2B5EF4-FFF2-40B4-BE49-F238E27FC236}">
              <a16:creationId xmlns:a16="http://schemas.microsoft.com/office/drawing/2014/main" id="{4C83D3D2-8403-4B88-942C-425156AED361}"/>
            </a:ext>
          </a:extLst>
        </xdr:cNvPr>
        <xdr:cNvSpPr txBox="1"/>
      </xdr:nvSpPr>
      <xdr:spPr>
        <a:xfrm>
          <a:off x="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0</xdr:col>
      <xdr:colOff>0</xdr:colOff>
      <xdr:row>1</xdr:row>
      <xdr:rowOff>0</xdr:rowOff>
    </xdr:from>
    <xdr:ext cx="184731" cy="264560"/>
    <xdr:sp macro="" textlink="">
      <xdr:nvSpPr>
        <xdr:cNvPr id="3" name="TextBox 6">
          <a:extLst>
            <a:ext uri="{FF2B5EF4-FFF2-40B4-BE49-F238E27FC236}">
              <a16:creationId xmlns:a16="http://schemas.microsoft.com/office/drawing/2014/main" id="{5F13CFF4-645F-43C9-9C5F-AAF39602470D}"/>
            </a:ext>
          </a:extLst>
        </xdr:cNvPr>
        <xdr:cNvSpPr txBox="1"/>
      </xdr:nvSpPr>
      <xdr:spPr>
        <a:xfrm>
          <a:off x="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0</xdr:col>
      <xdr:colOff>0</xdr:colOff>
      <xdr:row>1</xdr:row>
      <xdr:rowOff>0</xdr:rowOff>
    </xdr:from>
    <xdr:ext cx="184731" cy="264560"/>
    <xdr:sp macro="" textlink="">
      <xdr:nvSpPr>
        <xdr:cNvPr id="4" name="TextBox 7">
          <a:extLst>
            <a:ext uri="{FF2B5EF4-FFF2-40B4-BE49-F238E27FC236}">
              <a16:creationId xmlns:a16="http://schemas.microsoft.com/office/drawing/2014/main" id="{681900BF-5961-4162-816C-F10987C98EBA}"/>
            </a:ext>
          </a:extLst>
        </xdr:cNvPr>
        <xdr:cNvSpPr txBox="1"/>
      </xdr:nvSpPr>
      <xdr:spPr>
        <a:xfrm>
          <a:off x="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0</xdr:col>
      <xdr:colOff>0</xdr:colOff>
      <xdr:row>1</xdr:row>
      <xdr:rowOff>0</xdr:rowOff>
    </xdr:from>
    <xdr:ext cx="184731" cy="264560"/>
    <xdr:sp macro="" textlink="">
      <xdr:nvSpPr>
        <xdr:cNvPr id="5" name="TextBox 8">
          <a:extLst>
            <a:ext uri="{FF2B5EF4-FFF2-40B4-BE49-F238E27FC236}">
              <a16:creationId xmlns:a16="http://schemas.microsoft.com/office/drawing/2014/main" id="{C8EA99A0-6ACB-452A-8154-819762A531D5}"/>
            </a:ext>
          </a:extLst>
        </xdr:cNvPr>
        <xdr:cNvSpPr txBox="1"/>
      </xdr:nvSpPr>
      <xdr:spPr>
        <a:xfrm>
          <a:off x="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84731" cy="264560"/>
    <xdr:sp macro="" textlink="">
      <xdr:nvSpPr>
        <xdr:cNvPr id="2" name="TextBox 1">
          <a:extLst>
            <a:ext uri="{FF2B5EF4-FFF2-40B4-BE49-F238E27FC236}">
              <a16:creationId xmlns:a16="http://schemas.microsoft.com/office/drawing/2014/main" id="{00000000-0008-0000-0100-000006000000}"/>
            </a:ext>
          </a:extLst>
        </xdr:cNvPr>
        <xdr:cNvSpPr txBox="1"/>
      </xdr:nvSpPr>
      <xdr:spPr>
        <a:xfrm>
          <a:off x="0" y="18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0</xdr:col>
      <xdr:colOff>0</xdr:colOff>
      <xdr:row>1</xdr:row>
      <xdr:rowOff>0</xdr:rowOff>
    </xdr:from>
    <xdr:ext cx="184731" cy="264560"/>
    <xdr:sp macro="" textlink="">
      <xdr:nvSpPr>
        <xdr:cNvPr id="3" name="TextBox 2">
          <a:extLst>
            <a:ext uri="{FF2B5EF4-FFF2-40B4-BE49-F238E27FC236}">
              <a16:creationId xmlns:a16="http://schemas.microsoft.com/office/drawing/2014/main" id="{00000000-0008-0000-0100-000007000000}"/>
            </a:ext>
          </a:extLst>
        </xdr:cNvPr>
        <xdr:cNvSpPr txBox="1"/>
      </xdr:nvSpPr>
      <xdr:spPr>
        <a:xfrm>
          <a:off x="0" y="18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0</xdr:col>
      <xdr:colOff>0</xdr:colOff>
      <xdr:row>1</xdr:row>
      <xdr:rowOff>0</xdr:rowOff>
    </xdr:from>
    <xdr:ext cx="184731" cy="264560"/>
    <xdr:sp macro="" textlink="">
      <xdr:nvSpPr>
        <xdr:cNvPr id="4" name="TextBox 3">
          <a:extLst>
            <a:ext uri="{FF2B5EF4-FFF2-40B4-BE49-F238E27FC236}">
              <a16:creationId xmlns:a16="http://schemas.microsoft.com/office/drawing/2014/main" id="{00000000-0008-0000-0100-000008000000}"/>
            </a:ext>
          </a:extLst>
        </xdr:cNvPr>
        <xdr:cNvSpPr txBox="1"/>
      </xdr:nvSpPr>
      <xdr:spPr>
        <a:xfrm>
          <a:off x="0" y="18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0</xdr:col>
      <xdr:colOff>0</xdr:colOff>
      <xdr:row>1</xdr:row>
      <xdr:rowOff>0</xdr:rowOff>
    </xdr:from>
    <xdr:ext cx="184731" cy="264560"/>
    <xdr:sp macro="" textlink="">
      <xdr:nvSpPr>
        <xdr:cNvPr id="5" name="TextBox 4">
          <a:extLst>
            <a:ext uri="{FF2B5EF4-FFF2-40B4-BE49-F238E27FC236}">
              <a16:creationId xmlns:a16="http://schemas.microsoft.com/office/drawing/2014/main" id="{00000000-0008-0000-0100-000009000000}"/>
            </a:ext>
          </a:extLst>
        </xdr:cNvPr>
        <xdr:cNvSpPr txBox="1"/>
      </xdr:nvSpPr>
      <xdr:spPr>
        <a:xfrm>
          <a:off x="0" y="18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18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0</xdr:col>
      <xdr:colOff>0</xdr:colOff>
      <xdr:row>1</xdr:row>
      <xdr:rowOff>0</xdr:rowOff>
    </xdr:from>
    <xdr:ext cx="184731" cy="264560"/>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0" y="18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0</xdr:col>
      <xdr:colOff>0</xdr:colOff>
      <xdr:row>1</xdr:row>
      <xdr:rowOff>0</xdr:rowOff>
    </xdr:from>
    <xdr:ext cx="184731" cy="264560"/>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0" y="18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0</xdr:col>
      <xdr:colOff>0</xdr:colOff>
      <xdr:row>1</xdr:row>
      <xdr:rowOff>0</xdr:rowOff>
    </xdr:from>
    <xdr:ext cx="184731" cy="264560"/>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0" y="18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923925</xdr:colOff>
      <xdr:row>0</xdr:row>
      <xdr:rowOff>0</xdr:rowOff>
    </xdr:from>
    <xdr:to>
      <xdr:col>1</xdr:col>
      <xdr:colOff>2933700</xdr:colOff>
      <xdr:row>1</xdr:row>
      <xdr:rowOff>47625</xdr:rowOff>
    </xdr:to>
    <xdr:sp macro="" textlink="">
      <xdr:nvSpPr>
        <xdr:cNvPr id="2" name="Text Box 18">
          <a:extLst>
            <a:ext uri="{FF2B5EF4-FFF2-40B4-BE49-F238E27FC236}">
              <a16:creationId xmlns:a16="http://schemas.microsoft.com/office/drawing/2014/main" id="{5C17A4FA-2824-4259-B846-0398C08D427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 name="Text Box 5">
          <a:extLst>
            <a:ext uri="{FF2B5EF4-FFF2-40B4-BE49-F238E27FC236}">
              <a16:creationId xmlns:a16="http://schemas.microsoft.com/office/drawing/2014/main" id="{9FD0EF4D-C94E-49A0-9DCF-694750101149}"/>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 name="Text Box 18">
          <a:extLst>
            <a:ext uri="{FF2B5EF4-FFF2-40B4-BE49-F238E27FC236}">
              <a16:creationId xmlns:a16="http://schemas.microsoft.com/office/drawing/2014/main" id="{2DF19A92-A10A-4375-8DC0-A63F2DE7651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 name="Text Box 5">
          <a:extLst>
            <a:ext uri="{FF2B5EF4-FFF2-40B4-BE49-F238E27FC236}">
              <a16:creationId xmlns:a16="http://schemas.microsoft.com/office/drawing/2014/main" id="{E6A79670-1EDB-4245-87F9-F5CC0B26AE72}"/>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 name="Text Box 10">
          <a:extLst>
            <a:ext uri="{FF2B5EF4-FFF2-40B4-BE49-F238E27FC236}">
              <a16:creationId xmlns:a16="http://schemas.microsoft.com/office/drawing/2014/main" id="{97A947DA-A048-42DF-915D-8F51D98B8E4F}"/>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 name="Text Box 9">
          <a:extLst>
            <a:ext uri="{FF2B5EF4-FFF2-40B4-BE49-F238E27FC236}">
              <a16:creationId xmlns:a16="http://schemas.microsoft.com/office/drawing/2014/main" id="{F8F5404C-3EE1-44C9-84A7-1CE24E8EC5A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8" name="Text Box 5">
          <a:extLst>
            <a:ext uri="{FF2B5EF4-FFF2-40B4-BE49-F238E27FC236}">
              <a16:creationId xmlns:a16="http://schemas.microsoft.com/office/drawing/2014/main" id="{51C73C8A-1F03-41F1-8B59-DF7D35EAF741}"/>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9" name="Text Box 18">
          <a:extLst>
            <a:ext uri="{FF2B5EF4-FFF2-40B4-BE49-F238E27FC236}">
              <a16:creationId xmlns:a16="http://schemas.microsoft.com/office/drawing/2014/main" id="{8D0981A4-3100-4408-A6E7-BE613247776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0" name="Text Box 5">
          <a:extLst>
            <a:ext uri="{FF2B5EF4-FFF2-40B4-BE49-F238E27FC236}">
              <a16:creationId xmlns:a16="http://schemas.microsoft.com/office/drawing/2014/main" id="{C1C8DB4C-EEAE-4790-A9B6-9D8665F4833C}"/>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1" name="Text Box 5">
          <a:extLst>
            <a:ext uri="{FF2B5EF4-FFF2-40B4-BE49-F238E27FC236}">
              <a16:creationId xmlns:a16="http://schemas.microsoft.com/office/drawing/2014/main" id="{574B431D-D0E5-4F7F-BC5E-5829352A0614}"/>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2" name="Text Box 18">
          <a:extLst>
            <a:ext uri="{FF2B5EF4-FFF2-40B4-BE49-F238E27FC236}">
              <a16:creationId xmlns:a16="http://schemas.microsoft.com/office/drawing/2014/main" id="{C86EA855-22CE-4724-9BBC-2F814949BE7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3" name="Text Box 5">
          <a:extLst>
            <a:ext uri="{FF2B5EF4-FFF2-40B4-BE49-F238E27FC236}">
              <a16:creationId xmlns:a16="http://schemas.microsoft.com/office/drawing/2014/main" id="{98C193DC-182E-485F-88B0-E1D45B9075BE}"/>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4" name="Text Box 10">
          <a:extLst>
            <a:ext uri="{FF2B5EF4-FFF2-40B4-BE49-F238E27FC236}">
              <a16:creationId xmlns:a16="http://schemas.microsoft.com/office/drawing/2014/main" id="{FC17FE88-365D-4EEA-A98A-4B63F3684C2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5" name="Text Box 9">
          <a:extLst>
            <a:ext uri="{FF2B5EF4-FFF2-40B4-BE49-F238E27FC236}">
              <a16:creationId xmlns:a16="http://schemas.microsoft.com/office/drawing/2014/main" id="{FA944DA1-8903-48EF-842E-3486D48A7776}"/>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6" name="Text Box 5">
          <a:extLst>
            <a:ext uri="{FF2B5EF4-FFF2-40B4-BE49-F238E27FC236}">
              <a16:creationId xmlns:a16="http://schemas.microsoft.com/office/drawing/2014/main" id="{33998421-2E43-4FEF-AAF6-0952A4B20937}"/>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7" name="Text Box 18">
          <a:extLst>
            <a:ext uri="{FF2B5EF4-FFF2-40B4-BE49-F238E27FC236}">
              <a16:creationId xmlns:a16="http://schemas.microsoft.com/office/drawing/2014/main" id="{5F40E59A-8B42-432F-ABB7-0195AF38C21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8" name="Text Box 5">
          <a:extLst>
            <a:ext uri="{FF2B5EF4-FFF2-40B4-BE49-F238E27FC236}">
              <a16:creationId xmlns:a16="http://schemas.microsoft.com/office/drawing/2014/main" id="{0561EA08-D977-4994-9D6C-1FAEBCCF2651}"/>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9" name="Text Box 18">
          <a:extLst>
            <a:ext uri="{FF2B5EF4-FFF2-40B4-BE49-F238E27FC236}">
              <a16:creationId xmlns:a16="http://schemas.microsoft.com/office/drawing/2014/main" id="{C26B49E3-A21A-478E-8835-48F8993189A0}"/>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0" name="Text Box 5">
          <a:extLst>
            <a:ext uri="{FF2B5EF4-FFF2-40B4-BE49-F238E27FC236}">
              <a16:creationId xmlns:a16="http://schemas.microsoft.com/office/drawing/2014/main" id="{3B0EDDE5-60EA-437F-A718-897E8DD834F0}"/>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1" name="Text Box 18">
          <a:extLst>
            <a:ext uri="{FF2B5EF4-FFF2-40B4-BE49-F238E27FC236}">
              <a16:creationId xmlns:a16="http://schemas.microsoft.com/office/drawing/2014/main" id="{ECBDFDFE-F694-498C-B3C7-5B47BA93AF36}"/>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2" name="Text Box 5">
          <a:extLst>
            <a:ext uri="{FF2B5EF4-FFF2-40B4-BE49-F238E27FC236}">
              <a16:creationId xmlns:a16="http://schemas.microsoft.com/office/drawing/2014/main" id="{8B7C25E2-BF31-468C-B54D-EBB7156F3864}"/>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3" name="Text Box 10">
          <a:extLst>
            <a:ext uri="{FF2B5EF4-FFF2-40B4-BE49-F238E27FC236}">
              <a16:creationId xmlns:a16="http://schemas.microsoft.com/office/drawing/2014/main" id="{7EB07565-C84E-4EC2-AFAB-F7AB44BD45EB}"/>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4" name="Text Box 9">
          <a:extLst>
            <a:ext uri="{FF2B5EF4-FFF2-40B4-BE49-F238E27FC236}">
              <a16:creationId xmlns:a16="http://schemas.microsoft.com/office/drawing/2014/main" id="{7842787D-2E6C-43B4-BE8E-FF4C96B868B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5" name="Text Box 5">
          <a:extLst>
            <a:ext uri="{FF2B5EF4-FFF2-40B4-BE49-F238E27FC236}">
              <a16:creationId xmlns:a16="http://schemas.microsoft.com/office/drawing/2014/main" id="{4253953F-D670-4084-9CC1-03B3526A3D2C}"/>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6" name="Text Box 18">
          <a:extLst>
            <a:ext uri="{FF2B5EF4-FFF2-40B4-BE49-F238E27FC236}">
              <a16:creationId xmlns:a16="http://schemas.microsoft.com/office/drawing/2014/main" id="{7BC39762-EAAD-4773-BBE6-6EC7CAF6675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7" name="Text Box 5">
          <a:extLst>
            <a:ext uri="{FF2B5EF4-FFF2-40B4-BE49-F238E27FC236}">
              <a16:creationId xmlns:a16="http://schemas.microsoft.com/office/drawing/2014/main" id="{C7F7C216-5A6A-4F21-A118-AC071F3E1BB9}"/>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8" name="Text Box 18">
          <a:extLst>
            <a:ext uri="{FF2B5EF4-FFF2-40B4-BE49-F238E27FC236}">
              <a16:creationId xmlns:a16="http://schemas.microsoft.com/office/drawing/2014/main" id="{BE587EB3-D715-43E6-8F40-CCA38EDAE482}"/>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9" name="Text Box 5">
          <a:extLst>
            <a:ext uri="{FF2B5EF4-FFF2-40B4-BE49-F238E27FC236}">
              <a16:creationId xmlns:a16="http://schemas.microsoft.com/office/drawing/2014/main" id="{CC04B0F7-9176-435E-A483-9505E69121D8}"/>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0" name="Text Box 18">
          <a:extLst>
            <a:ext uri="{FF2B5EF4-FFF2-40B4-BE49-F238E27FC236}">
              <a16:creationId xmlns:a16="http://schemas.microsoft.com/office/drawing/2014/main" id="{71D4A596-BAD9-4769-83E6-A8BD8B775419}"/>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1" name="Text Box 5">
          <a:extLst>
            <a:ext uri="{FF2B5EF4-FFF2-40B4-BE49-F238E27FC236}">
              <a16:creationId xmlns:a16="http://schemas.microsoft.com/office/drawing/2014/main" id="{6F020949-9C43-4668-9E23-4509D850EFD8}"/>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2" name="Text Box 10">
          <a:extLst>
            <a:ext uri="{FF2B5EF4-FFF2-40B4-BE49-F238E27FC236}">
              <a16:creationId xmlns:a16="http://schemas.microsoft.com/office/drawing/2014/main" id="{E77DEA61-CBB9-4487-BE92-4C848BCC9037}"/>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3" name="Text Box 9">
          <a:extLst>
            <a:ext uri="{FF2B5EF4-FFF2-40B4-BE49-F238E27FC236}">
              <a16:creationId xmlns:a16="http://schemas.microsoft.com/office/drawing/2014/main" id="{DFC9CDFA-6119-4E7A-AF9D-0DB18D7DDC5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4" name="Text Box 5">
          <a:extLst>
            <a:ext uri="{FF2B5EF4-FFF2-40B4-BE49-F238E27FC236}">
              <a16:creationId xmlns:a16="http://schemas.microsoft.com/office/drawing/2014/main" id="{14D303AF-D829-47F5-B8A7-5642D82AD23D}"/>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5" name="Text Box 18">
          <a:extLst>
            <a:ext uri="{FF2B5EF4-FFF2-40B4-BE49-F238E27FC236}">
              <a16:creationId xmlns:a16="http://schemas.microsoft.com/office/drawing/2014/main" id="{FCB40BB1-6ACC-4D45-80D3-A9339CC070D7}"/>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6" name="Text Box 5">
          <a:extLst>
            <a:ext uri="{FF2B5EF4-FFF2-40B4-BE49-F238E27FC236}">
              <a16:creationId xmlns:a16="http://schemas.microsoft.com/office/drawing/2014/main" id="{CED5B9C8-3E23-4BD1-8C17-B689D4BFB79E}"/>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7" name="Text Box 5">
          <a:extLst>
            <a:ext uri="{FF2B5EF4-FFF2-40B4-BE49-F238E27FC236}">
              <a16:creationId xmlns:a16="http://schemas.microsoft.com/office/drawing/2014/main" id="{04613C6A-2AFF-46B6-99D8-448129F44B22}"/>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8" name="Text Box 18">
          <a:extLst>
            <a:ext uri="{FF2B5EF4-FFF2-40B4-BE49-F238E27FC236}">
              <a16:creationId xmlns:a16="http://schemas.microsoft.com/office/drawing/2014/main" id="{95239890-7B3C-474B-A9A0-DCCB1E4CED0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9" name="Text Box 5">
          <a:extLst>
            <a:ext uri="{FF2B5EF4-FFF2-40B4-BE49-F238E27FC236}">
              <a16:creationId xmlns:a16="http://schemas.microsoft.com/office/drawing/2014/main" id="{63375655-7A02-40E7-81F1-1F464E5D99B6}"/>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0" name="Text Box 10">
          <a:extLst>
            <a:ext uri="{FF2B5EF4-FFF2-40B4-BE49-F238E27FC236}">
              <a16:creationId xmlns:a16="http://schemas.microsoft.com/office/drawing/2014/main" id="{1758A473-DB27-4E22-B2F9-588A47134CC9}"/>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1" name="Text Box 9">
          <a:extLst>
            <a:ext uri="{FF2B5EF4-FFF2-40B4-BE49-F238E27FC236}">
              <a16:creationId xmlns:a16="http://schemas.microsoft.com/office/drawing/2014/main" id="{7346C4D6-E03D-4FE4-964F-42B187A21BAB}"/>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2" name="Text Box 5">
          <a:extLst>
            <a:ext uri="{FF2B5EF4-FFF2-40B4-BE49-F238E27FC236}">
              <a16:creationId xmlns:a16="http://schemas.microsoft.com/office/drawing/2014/main" id="{B784738A-0933-4B6E-9660-BBC098DD97D7}"/>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3" name="Text Box 18">
          <a:extLst>
            <a:ext uri="{FF2B5EF4-FFF2-40B4-BE49-F238E27FC236}">
              <a16:creationId xmlns:a16="http://schemas.microsoft.com/office/drawing/2014/main" id="{2BF814DB-FB30-404C-A7F6-7860C43A7FEB}"/>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4" name="Text Box 5">
          <a:extLst>
            <a:ext uri="{FF2B5EF4-FFF2-40B4-BE49-F238E27FC236}">
              <a16:creationId xmlns:a16="http://schemas.microsoft.com/office/drawing/2014/main" id="{5F1D6B2B-C960-4928-A776-57FDC4C42C82}"/>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5" name="Text Box 18">
          <a:extLst>
            <a:ext uri="{FF2B5EF4-FFF2-40B4-BE49-F238E27FC236}">
              <a16:creationId xmlns:a16="http://schemas.microsoft.com/office/drawing/2014/main" id="{46213E6B-DBEB-4342-8CEF-F9CEFBB54CB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6" name="Text Box 5">
          <a:extLst>
            <a:ext uri="{FF2B5EF4-FFF2-40B4-BE49-F238E27FC236}">
              <a16:creationId xmlns:a16="http://schemas.microsoft.com/office/drawing/2014/main" id="{83F82356-2AD1-4F23-8CB6-75A81E606BCF}"/>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7" name="Text Box 18">
          <a:extLst>
            <a:ext uri="{FF2B5EF4-FFF2-40B4-BE49-F238E27FC236}">
              <a16:creationId xmlns:a16="http://schemas.microsoft.com/office/drawing/2014/main" id="{FF5170F0-6F25-4471-96F5-9899ECAC065E}"/>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8" name="Text Box 5">
          <a:extLst>
            <a:ext uri="{FF2B5EF4-FFF2-40B4-BE49-F238E27FC236}">
              <a16:creationId xmlns:a16="http://schemas.microsoft.com/office/drawing/2014/main" id="{FF1D6C79-B6AA-49C1-B3A5-0401F62E82F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9" name="Text Box 10">
          <a:extLst>
            <a:ext uri="{FF2B5EF4-FFF2-40B4-BE49-F238E27FC236}">
              <a16:creationId xmlns:a16="http://schemas.microsoft.com/office/drawing/2014/main" id="{3F5C5474-C9C3-4775-B62F-2236E6A3969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0" name="Text Box 9">
          <a:extLst>
            <a:ext uri="{FF2B5EF4-FFF2-40B4-BE49-F238E27FC236}">
              <a16:creationId xmlns:a16="http://schemas.microsoft.com/office/drawing/2014/main" id="{47DB6E8F-F9A9-4562-BD02-055F6B2082F8}"/>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1" name="Text Box 5">
          <a:extLst>
            <a:ext uri="{FF2B5EF4-FFF2-40B4-BE49-F238E27FC236}">
              <a16:creationId xmlns:a16="http://schemas.microsoft.com/office/drawing/2014/main" id="{925A8389-08AD-4199-B743-AC006319FF17}"/>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2" name="Text Box 18">
          <a:extLst>
            <a:ext uri="{FF2B5EF4-FFF2-40B4-BE49-F238E27FC236}">
              <a16:creationId xmlns:a16="http://schemas.microsoft.com/office/drawing/2014/main" id="{B6763C16-77F4-43F9-B7A5-B3F912F23D7B}"/>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3" name="Text Box 5">
          <a:extLst>
            <a:ext uri="{FF2B5EF4-FFF2-40B4-BE49-F238E27FC236}">
              <a16:creationId xmlns:a16="http://schemas.microsoft.com/office/drawing/2014/main" id="{CBC75C20-14D5-4C0A-8A91-514A1EB4EA96}"/>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4" name="Text Box 18">
          <a:extLst>
            <a:ext uri="{FF2B5EF4-FFF2-40B4-BE49-F238E27FC236}">
              <a16:creationId xmlns:a16="http://schemas.microsoft.com/office/drawing/2014/main" id="{BEC15AD4-E9C8-4ED3-982F-FEA86315BE5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5" name="Text Box 5">
          <a:extLst>
            <a:ext uri="{FF2B5EF4-FFF2-40B4-BE49-F238E27FC236}">
              <a16:creationId xmlns:a16="http://schemas.microsoft.com/office/drawing/2014/main" id="{FB8931FA-054A-428C-9C4B-946BE0B0ACB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6" name="Text Box 18">
          <a:extLst>
            <a:ext uri="{FF2B5EF4-FFF2-40B4-BE49-F238E27FC236}">
              <a16:creationId xmlns:a16="http://schemas.microsoft.com/office/drawing/2014/main" id="{3570D94D-F4B3-4CC2-AE7C-BB8BDB5A5F7B}"/>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7" name="Text Box 5">
          <a:extLst>
            <a:ext uri="{FF2B5EF4-FFF2-40B4-BE49-F238E27FC236}">
              <a16:creationId xmlns:a16="http://schemas.microsoft.com/office/drawing/2014/main" id="{7F3A9C24-0CA2-44A1-9DDF-7F52A4588EFD}"/>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8" name="Text Box 10">
          <a:extLst>
            <a:ext uri="{FF2B5EF4-FFF2-40B4-BE49-F238E27FC236}">
              <a16:creationId xmlns:a16="http://schemas.microsoft.com/office/drawing/2014/main" id="{E011B6CF-615B-4CD8-8583-21FA8923DAC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9" name="Text Box 9">
          <a:extLst>
            <a:ext uri="{FF2B5EF4-FFF2-40B4-BE49-F238E27FC236}">
              <a16:creationId xmlns:a16="http://schemas.microsoft.com/office/drawing/2014/main" id="{0A548753-0678-4B51-AAE7-CDE0746EBCC7}"/>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0" name="Text Box 5">
          <a:extLst>
            <a:ext uri="{FF2B5EF4-FFF2-40B4-BE49-F238E27FC236}">
              <a16:creationId xmlns:a16="http://schemas.microsoft.com/office/drawing/2014/main" id="{FD441A47-5554-4985-B3F4-826155316F1C}"/>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1" name="Text Box 18">
          <a:extLst>
            <a:ext uri="{FF2B5EF4-FFF2-40B4-BE49-F238E27FC236}">
              <a16:creationId xmlns:a16="http://schemas.microsoft.com/office/drawing/2014/main" id="{4C0C0812-DF22-4E5D-AD01-DFCD610522CD}"/>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2" name="Text Box 5">
          <a:extLst>
            <a:ext uri="{FF2B5EF4-FFF2-40B4-BE49-F238E27FC236}">
              <a16:creationId xmlns:a16="http://schemas.microsoft.com/office/drawing/2014/main" id="{4A7EDB4D-9951-42AE-8413-4F80203A2C19}"/>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3" name="Text Box 5">
          <a:extLst>
            <a:ext uri="{FF2B5EF4-FFF2-40B4-BE49-F238E27FC236}">
              <a16:creationId xmlns:a16="http://schemas.microsoft.com/office/drawing/2014/main" id="{E1D05487-A55C-4131-AA1B-7C91DB49793A}"/>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4" name="Text Box 18">
          <a:extLst>
            <a:ext uri="{FF2B5EF4-FFF2-40B4-BE49-F238E27FC236}">
              <a16:creationId xmlns:a16="http://schemas.microsoft.com/office/drawing/2014/main" id="{1A8C1D51-CE7C-48E6-8A45-A8FF22E3BFA8}"/>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5" name="Text Box 5">
          <a:extLst>
            <a:ext uri="{FF2B5EF4-FFF2-40B4-BE49-F238E27FC236}">
              <a16:creationId xmlns:a16="http://schemas.microsoft.com/office/drawing/2014/main" id="{72FCE953-8DAC-4845-8AAE-C755C75FDE39}"/>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6" name="Text Box 10">
          <a:extLst>
            <a:ext uri="{FF2B5EF4-FFF2-40B4-BE49-F238E27FC236}">
              <a16:creationId xmlns:a16="http://schemas.microsoft.com/office/drawing/2014/main" id="{403717DC-27F8-4034-9B07-1030CA2343A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7" name="Text Box 9">
          <a:extLst>
            <a:ext uri="{FF2B5EF4-FFF2-40B4-BE49-F238E27FC236}">
              <a16:creationId xmlns:a16="http://schemas.microsoft.com/office/drawing/2014/main" id="{D3A39F7E-E894-4191-BE35-617361BF755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8" name="Text Box 5">
          <a:extLst>
            <a:ext uri="{FF2B5EF4-FFF2-40B4-BE49-F238E27FC236}">
              <a16:creationId xmlns:a16="http://schemas.microsoft.com/office/drawing/2014/main" id="{08A04563-78F5-4A79-9191-278069DD91FF}"/>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9" name="Text Box 5">
          <a:extLst>
            <a:ext uri="{FF2B5EF4-FFF2-40B4-BE49-F238E27FC236}">
              <a16:creationId xmlns:a16="http://schemas.microsoft.com/office/drawing/2014/main" id="{BE6811C2-9F4F-487D-AEC6-4CFD5D2822F5}"/>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70" name="Text Box 5">
          <a:extLst>
            <a:ext uri="{FF2B5EF4-FFF2-40B4-BE49-F238E27FC236}">
              <a16:creationId xmlns:a16="http://schemas.microsoft.com/office/drawing/2014/main" id="{CCE9CCFD-D88C-4F21-8951-D2CB6428DBF1}"/>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76200</xdr:colOff>
      <xdr:row>0</xdr:row>
      <xdr:rowOff>95250</xdr:rowOff>
    </xdr:from>
    <xdr:to>
      <xdr:col>1</xdr:col>
      <xdr:colOff>914400</xdr:colOff>
      <xdr:row>0</xdr:row>
      <xdr:rowOff>666750</xdr:rowOff>
    </xdr:to>
    <xdr:pic>
      <xdr:nvPicPr>
        <xdr:cNvPr id="71" name="Picture 81">
          <a:extLst>
            <a:ext uri="{FF2B5EF4-FFF2-40B4-BE49-F238E27FC236}">
              <a16:creationId xmlns:a16="http://schemas.microsoft.com/office/drawing/2014/main" id="{E84337E0-8197-4F23-90AD-C3C6B8C1CD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95250"/>
          <a:ext cx="1352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1104900</xdr:colOff>
      <xdr:row>0</xdr:row>
      <xdr:rowOff>47625</xdr:rowOff>
    </xdr:from>
    <xdr:to>
      <xdr:col>5</xdr:col>
      <xdr:colOff>723900</xdr:colOff>
      <xdr:row>0</xdr:row>
      <xdr:rowOff>723900</xdr:rowOff>
    </xdr:to>
    <xdr:pic>
      <xdr:nvPicPr>
        <xdr:cNvPr id="72" name="Picture 1">
          <a:extLst>
            <a:ext uri="{FF2B5EF4-FFF2-40B4-BE49-F238E27FC236}">
              <a16:creationId xmlns:a16="http://schemas.microsoft.com/office/drawing/2014/main" id="{1F7C1F9E-AF8A-4568-BA6F-9EB9E7D36B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0" y="47625"/>
          <a:ext cx="47053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923925</xdr:colOff>
      <xdr:row>0</xdr:row>
      <xdr:rowOff>0</xdr:rowOff>
    </xdr:from>
    <xdr:to>
      <xdr:col>1</xdr:col>
      <xdr:colOff>2933700</xdr:colOff>
      <xdr:row>1</xdr:row>
      <xdr:rowOff>47625</xdr:rowOff>
    </xdr:to>
    <xdr:sp macro="" textlink="">
      <xdr:nvSpPr>
        <xdr:cNvPr id="2" name="Text Box 18">
          <a:extLst>
            <a:ext uri="{FF2B5EF4-FFF2-40B4-BE49-F238E27FC236}">
              <a16:creationId xmlns:a16="http://schemas.microsoft.com/office/drawing/2014/main" id="{68B31FAF-9359-400F-B8D8-E88CDBEAC608}"/>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 name="Text Box 5">
          <a:extLst>
            <a:ext uri="{FF2B5EF4-FFF2-40B4-BE49-F238E27FC236}">
              <a16:creationId xmlns:a16="http://schemas.microsoft.com/office/drawing/2014/main" id="{D0D82A9C-14F4-40EC-B297-271C8858D516}"/>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 name="Text Box 18">
          <a:extLst>
            <a:ext uri="{FF2B5EF4-FFF2-40B4-BE49-F238E27FC236}">
              <a16:creationId xmlns:a16="http://schemas.microsoft.com/office/drawing/2014/main" id="{A10F7F8A-C3FF-43A8-B057-CA6B315D4646}"/>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 name="Text Box 5">
          <a:extLst>
            <a:ext uri="{FF2B5EF4-FFF2-40B4-BE49-F238E27FC236}">
              <a16:creationId xmlns:a16="http://schemas.microsoft.com/office/drawing/2014/main" id="{7470DC63-319D-468D-995F-8F2937B37301}"/>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 name="Text Box 10">
          <a:extLst>
            <a:ext uri="{FF2B5EF4-FFF2-40B4-BE49-F238E27FC236}">
              <a16:creationId xmlns:a16="http://schemas.microsoft.com/office/drawing/2014/main" id="{AB16CD0E-EAA4-4B10-B106-F34E31D7E27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 name="Text Box 9">
          <a:extLst>
            <a:ext uri="{FF2B5EF4-FFF2-40B4-BE49-F238E27FC236}">
              <a16:creationId xmlns:a16="http://schemas.microsoft.com/office/drawing/2014/main" id="{211B229D-4734-481B-AFC9-B24B115DC051}"/>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8" name="Text Box 5">
          <a:extLst>
            <a:ext uri="{FF2B5EF4-FFF2-40B4-BE49-F238E27FC236}">
              <a16:creationId xmlns:a16="http://schemas.microsoft.com/office/drawing/2014/main" id="{6CB15DFD-A5F4-464C-AFEE-7214FFB8D3E8}"/>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9" name="Text Box 18">
          <a:extLst>
            <a:ext uri="{FF2B5EF4-FFF2-40B4-BE49-F238E27FC236}">
              <a16:creationId xmlns:a16="http://schemas.microsoft.com/office/drawing/2014/main" id="{70FAEEB8-9882-45DA-8E4E-FC9ECC01457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0" name="Text Box 5">
          <a:extLst>
            <a:ext uri="{FF2B5EF4-FFF2-40B4-BE49-F238E27FC236}">
              <a16:creationId xmlns:a16="http://schemas.microsoft.com/office/drawing/2014/main" id="{A24215CD-B85A-4149-B164-66EE444CD5F0}"/>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1" name="Text Box 5">
          <a:extLst>
            <a:ext uri="{FF2B5EF4-FFF2-40B4-BE49-F238E27FC236}">
              <a16:creationId xmlns:a16="http://schemas.microsoft.com/office/drawing/2014/main" id="{D9D0F57D-9DD4-4BDE-9978-6715F08819C7}"/>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2" name="Text Box 18">
          <a:extLst>
            <a:ext uri="{FF2B5EF4-FFF2-40B4-BE49-F238E27FC236}">
              <a16:creationId xmlns:a16="http://schemas.microsoft.com/office/drawing/2014/main" id="{464C9257-4E2C-4A89-A07C-5A9524AF1152}"/>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3" name="Text Box 5">
          <a:extLst>
            <a:ext uri="{FF2B5EF4-FFF2-40B4-BE49-F238E27FC236}">
              <a16:creationId xmlns:a16="http://schemas.microsoft.com/office/drawing/2014/main" id="{0633146D-1B54-4079-9711-7BF914CDB2E4}"/>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4" name="Text Box 10">
          <a:extLst>
            <a:ext uri="{FF2B5EF4-FFF2-40B4-BE49-F238E27FC236}">
              <a16:creationId xmlns:a16="http://schemas.microsoft.com/office/drawing/2014/main" id="{61B59624-50CA-4C58-AABC-A0AC76E3C47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5" name="Text Box 9">
          <a:extLst>
            <a:ext uri="{FF2B5EF4-FFF2-40B4-BE49-F238E27FC236}">
              <a16:creationId xmlns:a16="http://schemas.microsoft.com/office/drawing/2014/main" id="{354AC63D-096A-474C-931D-7B62A0AD1AF0}"/>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6" name="Text Box 5">
          <a:extLst>
            <a:ext uri="{FF2B5EF4-FFF2-40B4-BE49-F238E27FC236}">
              <a16:creationId xmlns:a16="http://schemas.microsoft.com/office/drawing/2014/main" id="{FD0BB7A5-713E-490B-B4F9-E948410B4109}"/>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7" name="Text Box 18">
          <a:extLst>
            <a:ext uri="{FF2B5EF4-FFF2-40B4-BE49-F238E27FC236}">
              <a16:creationId xmlns:a16="http://schemas.microsoft.com/office/drawing/2014/main" id="{6FB2B705-12E2-4F83-956B-2D8B0D65717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8" name="Text Box 5">
          <a:extLst>
            <a:ext uri="{FF2B5EF4-FFF2-40B4-BE49-F238E27FC236}">
              <a16:creationId xmlns:a16="http://schemas.microsoft.com/office/drawing/2014/main" id="{5602405F-0CE7-42C8-87DB-AF56E83CE16F}"/>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9" name="Text Box 18">
          <a:extLst>
            <a:ext uri="{FF2B5EF4-FFF2-40B4-BE49-F238E27FC236}">
              <a16:creationId xmlns:a16="http://schemas.microsoft.com/office/drawing/2014/main" id="{F73BF881-1D7C-45B2-A4E5-870B846D0FE2}"/>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0" name="Text Box 5">
          <a:extLst>
            <a:ext uri="{FF2B5EF4-FFF2-40B4-BE49-F238E27FC236}">
              <a16:creationId xmlns:a16="http://schemas.microsoft.com/office/drawing/2014/main" id="{C81BDC14-2647-41BF-BF53-6FBCE2375899}"/>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1" name="Text Box 18">
          <a:extLst>
            <a:ext uri="{FF2B5EF4-FFF2-40B4-BE49-F238E27FC236}">
              <a16:creationId xmlns:a16="http://schemas.microsoft.com/office/drawing/2014/main" id="{2E07EE1B-C8E9-44B2-84ED-4448F13B4F2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2" name="Text Box 5">
          <a:extLst>
            <a:ext uri="{FF2B5EF4-FFF2-40B4-BE49-F238E27FC236}">
              <a16:creationId xmlns:a16="http://schemas.microsoft.com/office/drawing/2014/main" id="{957AE141-4FB9-42C1-9711-0667E364C71F}"/>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3" name="Text Box 10">
          <a:extLst>
            <a:ext uri="{FF2B5EF4-FFF2-40B4-BE49-F238E27FC236}">
              <a16:creationId xmlns:a16="http://schemas.microsoft.com/office/drawing/2014/main" id="{1787E811-5540-45C3-AB84-7D693DF9FD6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4" name="Text Box 9">
          <a:extLst>
            <a:ext uri="{FF2B5EF4-FFF2-40B4-BE49-F238E27FC236}">
              <a16:creationId xmlns:a16="http://schemas.microsoft.com/office/drawing/2014/main" id="{CE434115-30C5-4F2C-A8D7-32500A769A3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5" name="Text Box 5">
          <a:extLst>
            <a:ext uri="{FF2B5EF4-FFF2-40B4-BE49-F238E27FC236}">
              <a16:creationId xmlns:a16="http://schemas.microsoft.com/office/drawing/2014/main" id="{3A926471-19DA-4A84-B538-81C0FDCBF46D}"/>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6" name="Text Box 18">
          <a:extLst>
            <a:ext uri="{FF2B5EF4-FFF2-40B4-BE49-F238E27FC236}">
              <a16:creationId xmlns:a16="http://schemas.microsoft.com/office/drawing/2014/main" id="{FEA99EC3-85B4-45C2-97B9-F6443B1C74F9}"/>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7" name="Text Box 5">
          <a:extLst>
            <a:ext uri="{FF2B5EF4-FFF2-40B4-BE49-F238E27FC236}">
              <a16:creationId xmlns:a16="http://schemas.microsoft.com/office/drawing/2014/main" id="{792CAF75-7703-4D8C-AC56-769CA4F47D56}"/>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8" name="Text Box 18">
          <a:extLst>
            <a:ext uri="{FF2B5EF4-FFF2-40B4-BE49-F238E27FC236}">
              <a16:creationId xmlns:a16="http://schemas.microsoft.com/office/drawing/2014/main" id="{75F19540-0654-451F-8D96-67CC24123CC6}"/>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9" name="Text Box 5">
          <a:extLst>
            <a:ext uri="{FF2B5EF4-FFF2-40B4-BE49-F238E27FC236}">
              <a16:creationId xmlns:a16="http://schemas.microsoft.com/office/drawing/2014/main" id="{94533A46-F1F7-4E84-BF76-F3AF100C72C6}"/>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0" name="Text Box 18">
          <a:extLst>
            <a:ext uri="{FF2B5EF4-FFF2-40B4-BE49-F238E27FC236}">
              <a16:creationId xmlns:a16="http://schemas.microsoft.com/office/drawing/2014/main" id="{762E35BD-7C26-4FF7-9669-9176461BEC5D}"/>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1" name="Text Box 5">
          <a:extLst>
            <a:ext uri="{FF2B5EF4-FFF2-40B4-BE49-F238E27FC236}">
              <a16:creationId xmlns:a16="http://schemas.microsoft.com/office/drawing/2014/main" id="{4FC50C27-9C91-4A37-9E35-70B3DD5B6474}"/>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2" name="Text Box 10">
          <a:extLst>
            <a:ext uri="{FF2B5EF4-FFF2-40B4-BE49-F238E27FC236}">
              <a16:creationId xmlns:a16="http://schemas.microsoft.com/office/drawing/2014/main" id="{8427F7C3-57CA-4183-96E6-4B7712D8437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3" name="Text Box 9">
          <a:extLst>
            <a:ext uri="{FF2B5EF4-FFF2-40B4-BE49-F238E27FC236}">
              <a16:creationId xmlns:a16="http://schemas.microsoft.com/office/drawing/2014/main" id="{9F94A0DE-5B4C-4B78-AA13-F806C4EEEC2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4" name="Text Box 5">
          <a:extLst>
            <a:ext uri="{FF2B5EF4-FFF2-40B4-BE49-F238E27FC236}">
              <a16:creationId xmlns:a16="http://schemas.microsoft.com/office/drawing/2014/main" id="{FC138850-73AF-49B5-9228-3422A7EC607F}"/>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5" name="Text Box 18">
          <a:extLst>
            <a:ext uri="{FF2B5EF4-FFF2-40B4-BE49-F238E27FC236}">
              <a16:creationId xmlns:a16="http://schemas.microsoft.com/office/drawing/2014/main" id="{BDF32062-9C7B-4B2E-81F9-DF982658A3BD}"/>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6" name="Text Box 5">
          <a:extLst>
            <a:ext uri="{FF2B5EF4-FFF2-40B4-BE49-F238E27FC236}">
              <a16:creationId xmlns:a16="http://schemas.microsoft.com/office/drawing/2014/main" id="{CD390E80-9A12-40D5-B940-E1134FE493C8}"/>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7" name="Text Box 5">
          <a:extLst>
            <a:ext uri="{FF2B5EF4-FFF2-40B4-BE49-F238E27FC236}">
              <a16:creationId xmlns:a16="http://schemas.microsoft.com/office/drawing/2014/main" id="{BD809C18-82D8-46EB-8AD1-21FE00709657}"/>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8" name="Text Box 18">
          <a:extLst>
            <a:ext uri="{FF2B5EF4-FFF2-40B4-BE49-F238E27FC236}">
              <a16:creationId xmlns:a16="http://schemas.microsoft.com/office/drawing/2014/main" id="{CB522CF7-4047-48B8-BE0E-BD103C663EC7}"/>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9" name="Text Box 5">
          <a:extLst>
            <a:ext uri="{FF2B5EF4-FFF2-40B4-BE49-F238E27FC236}">
              <a16:creationId xmlns:a16="http://schemas.microsoft.com/office/drawing/2014/main" id="{9CF6167F-499B-40E7-A058-6DEBA6BDC1E5}"/>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0" name="Text Box 10">
          <a:extLst>
            <a:ext uri="{FF2B5EF4-FFF2-40B4-BE49-F238E27FC236}">
              <a16:creationId xmlns:a16="http://schemas.microsoft.com/office/drawing/2014/main" id="{3B417F7A-F873-4B1F-A709-0BBD80D188A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1" name="Text Box 9">
          <a:extLst>
            <a:ext uri="{FF2B5EF4-FFF2-40B4-BE49-F238E27FC236}">
              <a16:creationId xmlns:a16="http://schemas.microsoft.com/office/drawing/2014/main" id="{F6B38070-004D-4B24-8789-ECEBD2D18196}"/>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2" name="Text Box 5">
          <a:extLst>
            <a:ext uri="{FF2B5EF4-FFF2-40B4-BE49-F238E27FC236}">
              <a16:creationId xmlns:a16="http://schemas.microsoft.com/office/drawing/2014/main" id="{CF46FDE5-E76F-4490-8E0C-4F822EFDA9EA}"/>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3" name="Text Box 18">
          <a:extLst>
            <a:ext uri="{FF2B5EF4-FFF2-40B4-BE49-F238E27FC236}">
              <a16:creationId xmlns:a16="http://schemas.microsoft.com/office/drawing/2014/main" id="{325F6285-D9CB-4537-83CC-3572802B5D31}"/>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4" name="Text Box 5">
          <a:extLst>
            <a:ext uri="{FF2B5EF4-FFF2-40B4-BE49-F238E27FC236}">
              <a16:creationId xmlns:a16="http://schemas.microsoft.com/office/drawing/2014/main" id="{BF3D1C2A-D360-4299-ACD3-DFBE66C7493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5" name="Text Box 18">
          <a:extLst>
            <a:ext uri="{FF2B5EF4-FFF2-40B4-BE49-F238E27FC236}">
              <a16:creationId xmlns:a16="http://schemas.microsoft.com/office/drawing/2014/main" id="{4A8F0986-1ECC-45C0-BA80-07614504BF2E}"/>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6" name="Text Box 5">
          <a:extLst>
            <a:ext uri="{FF2B5EF4-FFF2-40B4-BE49-F238E27FC236}">
              <a16:creationId xmlns:a16="http://schemas.microsoft.com/office/drawing/2014/main" id="{28C0DF11-FE22-4F20-819F-146799A62FC7}"/>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7" name="Text Box 18">
          <a:extLst>
            <a:ext uri="{FF2B5EF4-FFF2-40B4-BE49-F238E27FC236}">
              <a16:creationId xmlns:a16="http://schemas.microsoft.com/office/drawing/2014/main" id="{40B8783F-663D-4A47-9804-2B41F24B3150}"/>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8" name="Text Box 5">
          <a:extLst>
            <a:ext uri="{FF2B5EF4-FFF2-40B4-BE49-F238E27FC236}">
              <a16:creationId xmlns:a16="http://schemas.microsoft.com/office/drawing/2014/main" id="{7913CB5B-8E95-4EBE-B45F-0EBCD758035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9" name="Text Box 10">
          <a:extLst>
            <a:ext uri="{FF2B5EF4-FFF2-40B4-BE49-F238E27FC236}">
              <a16:creationId xmlns:a16="http://schemas.microsoft.com/office/drawing/2014/main" id="{83526768-C8DD-45F5-98B1-9B80F9CF0F2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0" name="Text Box 9">
          <a:extLst>
            <a:ext uri="{FF2B5EF4-FFF2-40B4-BE49-F238E27FC236}">
              <a16:creationId xmlns:a16="http://schemas.microsoft.com/office/drawing/2014/main" id="{DC64C9D8-027B-4C94-B76A-6FE3EBA79F26}"/>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1" name="Text Box 5">
          <a:extLst>
            <a:ext uri="{FF2B5EF4-FFF2-40B4-BE49-F238E27FC236}">
              <a16:creationId xmlns:a16="http://schemas.microsoft.com/office/drawing/2014/main" id="{80BCE583-1007-4785-AB6D-6AC240561BAF}"/>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2" name="Text Box 18">
          <a:extLst>
            <a:ext uri="{FF2B5EF4-FFF2-40B4-BE49-F238E27FC236}">
              <a16:creationId xmlns:a16="http://schemas.microsoft.com/office/drawing/2014/main" id="{B9CE1160-A009-4008-A09A-22BE80291467}"/>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3" name="Text Box 5">
          <a:extLst>
            <a:ext uri="{FF2B5EF4-FFF2-40B4-BE49-F238E27FC236}">
              <a16:creationId xmlns:a16="http://schemas.microsoft.com/office/drawing/2014/main" id="{BED1DF45-90D4-4B9E-8094-B642058B20B2}"/>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4" name="Text Box 18">
          <a:extLst>
            <a:ext uri="{FF2B5EF4-FFF2-40B4-BE49-F238E27FC236}">
              <a16:creationId xmlns:a16="http://schemas.microsoft.com/office/drawing/2014/main" id="{690D27DE-E937-41B4-A8FF-5140248564B2}"/>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5" name="Text Box 5">
          <a:extLst>
            <a:ext uri="{FF2B5EF4-FFF2-40B4-BE49-F238E27FC236}">
              <a16:creationId xmlns:a16="http://schemas.microsoft.com/office/drawing/2014/main" id="{FE9F3904-3173-43C0-8FAD-B66F362098A2}"/>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6" name="Text Box 18">
          <a:extLst>
            <a:ext uri="{FF2B5EF4-FFF2-40B4-BE49-F238E27FC236}">
              <a16:creationId xmlns:a16="http://schemas.microsoft.com/office/drawing/2014/main" id="{397F3F56-DD5E-400E-BDC4-93094DACD2ED}"/>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7" name="Text Box 5">
          <a:extLst>
            <a:ext uri="{FF2B5EF4-FFF2-40B4-BE49-F238E27FC236}">
              <a16:creationId xmlns:a16="http://schemas.microsoft.com/office/drawing/2014/main" id="{0269DDC0-56B4-441B-8D6E-2C4FCCCDCDBF}"/>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8" name="Text Box 10">
          <a:extLst>
            <a:ext uri="{FF2B5EF4-FFF2-40B4-BE49-F238E27FC236}">
              <a16:creationId xmlns:a16="http://schemas.microsoft.com/office/drawing/2014/main" id="{D459ECBB-989B-4947-AC21-7E858BF4134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9" name="Text Box 9">
          <a:extLst>
            <a:ext uri="{FF2B5EF4-FFF2-40B4-BE49-F238E27FC236}">
              <a16:creationId xmlns:a16="http://schemas.microsoft.com/office/drawing/2014/main" id="{04DF34AE-BAD5-4200-BB40-7E71C7346D70}"/>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0" name="Text Box 5">
          <a:extLst>
            <a:ext uri="{FF2B5EF4-FFF2-40B4-BE49-F238E27FC236}">
              <a16:creationId xmlns:a16="http://schemas.microsoft.com/office/drawing/2014/main" id="{73832141-F877-4025-850D-945B2715267C}"/>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1" name="Text Box 18">
          <a:extLst>
            <a:ext uri="{FF2B5EF4-FFF2-40B4-BE49-F238E27FC236}">
              <a16:creationId xmlns:a16="http://schemas.microsoft.com/office/drawing/2014/main" id="{663A8626-DD6C-4F4B-A866-1367C47BB06D}"/>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2" name="Text Box 5">
          <a:extLst>
            <a:ext uri="{FF2B5EF4-FFF2-40B4-BE49-F238E27FC236}">
              <a16:creationId xmlns:a16="http://schemas.microsoft.com/office/drawing/2014/main" id="{3CD86D36-3012-4F6F-B56E-D7CC6C06BC17}"/>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3" name="Text Box 5">
          <a:extLst>
            <a:ext uri="{FF2B5EF4-FFF2-40B4-BE49-F238E27FC236}">
              <a16:creationId xmlns:a16="http://schemas.microsoft.com/office/drawing/2014/main" id="{CE01B3B5-9450-4EBF-B0B9-1AD54866AFC4}"/>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4" name="Text Box 18">
          <a:extLst>
            <a:ext uri="{FF2B5EF4-FFF2-40B4-BE49-F238E27FC236}">
              <a16:creationId xmlns:a16="http://schemas.microsoft.com/office/drawing/2014/main" id="{6F878F0B-91C3-4DD3-8458-A6BB9E032D6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5" name="Text Box 5">
          <a:extLst>
            <a:ext uri="{FF2B5EF4-FFF2-40B4-BE49-F238E27FC236}">
              <a16:creationId xmlns:a16="http://schemas.microsoft.com/office/drawing/2014/main" id="{9732FC29-F645-4C9A-A8D0-FA0E0B96003E}"/>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6" name="Text Box 10">
          <a:extLst>
            <a:ext uri="{FF2B5EF4-FFF2-40B4-BE49-F238E27FC236}">
              <a16:creationId xmlns:a16="http://schemas.microsoft.com/office/drawing/2014/main" id="{CEE1C151-57A3-4A2E-9F88-E98763C613A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7" name="Text Box 9">
          <a:extLst>
            <a:ext uri="{FF2B5EF4-FFF2-40B4-BE49-F238E27FC236}">
              <a16:creationId xmlns:a16="http://schemas.microsoft.com/office/drawing/2014/main" id="{518970E8-1F54-4B83-AD10-6A0344C4E07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8" name="Text Box 5">
          <a:extLst>
            <a:ext uri="{FF2B5EF4-FFF2-40B4-BE49-F238E27FC236}">
              <a16:creationId xmlns:a16="http://schemas.microsoft.com/office/drawing/2014/main" id="{18E50F0C-F49E-4E93-99E5-E83DFB4C9F69}"/>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9" name="Text Box 18">
          <a:extLst>
            <a:ext uri="{FF2B5EF4-FFF2-40B4-BE49-F238E27FC236}">
              <a16:creationId xmlns:a16="http://schemas.microsoft.com/office/drawing/2014/main" id="{CBCD9FBC-E4BF-4AD5-8296-C22F1A434B96}"/>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70" name="Text Box 5">
          <a:extLst>
            <a:ext uri="{FF2B5EF4-FFF2-40B4-BE49-F238E27FC236}">
              <a16:creationId xmlns:a16="http://schemas.microsoft.com/office/drawing/2014/main" id="{C14A8B06-0153-4353-B97D-B8E0D1EBEB0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1" name="Text Box 18">
          <a:extLst>
            <a:ext uri="{FF2B5EF4-FFF2-40B4-BE49-F238E27FC236}">
              <a16:creationId xmlns:a16="http://schemas.microsoft.com/office/drawing/2014/main" id="{A48F11AA-0542-4F02-B1FD-71CAF0889BE8}"/>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72" name="Text Box 5">
          <a:extLst>
            <a:ext uri="{FF2B5EF4-FFF2-40B4-BE49-F238E27FC236}">
              <a16:creationId xmlns:a16="http://schemas.microsoft.com/office/drawing/2014/main" id="{27760CF9-DA07-4890-90A9-BA8BD866AF5E}"/>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3" name="Text Box 18">
          <a:extLst>
            <a:ext uri="{FF2B5EF4-FFF2-40B4-BE49-F238E27FC236}">
              <a16:creationId xmlns:a16="http://schemas.microsoft.com/office/drawing/2014/main" id="{FCB33BC1-FE01-42BA-B1A3-A4C343427F17}"/>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74" name="Text Box 5">
          <a:extLst>
            <a:ext uri="{FF2B5EF4-FFF2-40B4-BE49-F238E27FC236}">
              <a16:creationId xmlns:a16="http://schemas.microsoft.com/office/drawing/2014/main" id="{38DD0E9E-9AA0-490E-8EB6-2462AB56FFE2}"/>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5" name="Text Box 10">
          <a:extLst>
            <a:ext uri="{FF2B5EF4-FFF2-40B4-BE49-F238E27FC236}">
              <a16:creationId xmlns:a16="http://schemas.microsoft.com/office/drawing/2014/main" id="{9BA06AC3-D116-400D-8F06-480B20B6CFDD}"/>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6" name="Text Box 9">
          <a:extLst>
            <a:ext uri="{FF2B5EF4-FFF2-40B4-BE49-F238E27FC236}">
              <a16:creationId xmlns:a16="http://schemas.microsoft.com/office/drawing/2014/main" id="{0342BA01-0C97-47F8-8C3A-B153AAFD9587}"/>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77" name="Text Box 5">
          <a:extLst>
            <a:ext uri="{FF2B5EF4-FFF2-40B4-BE49-F238E27FC236}">
              <a16:creationId xmlns:a16="http://schemas.microsoft.com/office/drawing/2014/main" id="{F0AB9A0B-67E9-4CD6-86C9-E5EC585342AF}"/>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8" name="Text Box 18">
          <a:extLst>
            <a:ext uri="{FF2B5EF4-FFF2-40B4-BE49-F238E27FC236}">
              <a16:creationId xmlns:a16="http://schemas.microsoft.com/office/drawing/2014/main" id="{22838ECA-306B-4F86-9C2A-81EE16F75BE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79" name="Text Box 5">
          <a:extLst>
            <a:ext uri="{FF2B5EF4-FFF2-40B4-BE49-F238E27FC236}">
              <a16:creationId xmlns:a16="http://schemas.microsoft.com/office/drawing/2014/main" id="{28D9E341-1D7E-4D24-B444-F7A5647F0C5D}"/>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66675</xdr:colOff>
      <xdr:row>0</xdr:row>
      <xdr:rowOff>95250</xdr:rowOff>
    </xdr:from>
    <xdr:to>
      <xdr:col>1</xdr:col>
      <xdr:colOff>904875</xdr:colOff>
      <xdr:row>0</xdr:row>
      <xdr:rowOff>666750</xdr:rowOff>
    </xdr:to>
    <xdr:pic>
      <xdr:nvPicPr>
        <xdr:cNvPr id="80" name="Picture 81">
          <a:extLst>
            <a:ext uri="{FF2B5EF4-FFF2-40B4-BE49-F238E27FC236}">
              <a16:creationId xmlns:a16="http://schemas.microsoft.com/office/drawing/2014/main" id="{249603D5-E19B-499B-8A4F-9071F2F90A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1352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47625</xdr:rowOff>
    </xdr:from>
    <xdr:to>
      <xdr:col>5</xdr:col>
      <xdr:colOff>647700</xdr:colOff>
      <xdr:row>0</xdr:row>
      <xdr:rowOff>723900</xdr:rowOff>
    </xdr:to>
    <xdr:pic>
      <xdr:nvPicPr>
        <xdr:cNvPr id="81" name="Picture 82">
          <a:extLst>
            <a:ext uri="{FF2B5EF4-FFF2-40B4-BE49-F238E27FC236}">
              <a16:creationId xmlns:a16="http://schemas.microsoft.com/office/drawing/2014/main" id="{77CAC470-8801-4C03-878C-E9B398C232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3525" y="47625"/>
          <a:ext cx="4714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923925</xdr:colOff>
      <xdr:row>0</xdr:row>
      <xdr:rowOff>0</xdr:rowOff>
    </xdr:from>
    <xdr:to>
      <xdr:col>1</xdr:col>
      <xdr:colOff>2933700</xdr:colOff>
      <xdr:row>1</xdr:row>
      <xdr:rowOff>47625</xdr:rowOff>
    </xdr:to>
    <xdr:sp macro="" textlink="">
      <xdr:nvSpPr>
        <xdr:cNvPr id="2" name="Text Box 18">
          <a:extLst>
            <a:ext uri="{FF2B5EF4-FFF2-40B4-BE49-F238E27FC236}">
              <a16:creationId xmlns:a16="http://schemas.microsoft.com/office/drawing/2014/main" id="{5337C7AA-76DA-42C1-A4B1-ABF219812FC5}"/>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 name="Text Box 5">
          <a:extLst>
            <a:ext uri="{FF2B5EF4-FFF2-40B4-BE49-F238E27FC236}">
              <a16:creationId xmlns:a16="http://schemas.microsoft.com/office/drawing/2014/main" id="{1B693614-9484-4BF4-83C7-1F30E777E59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 name="Text Box 18">
          <a:extLst>
            <a:ext uri="{FF2B5EF4-FFF2-40B4-BE49-F238E27FC236}">
              <a16:creationId xmlns:a16="http://schemas.microsoft.com/office/drawing/2014/main" id="{BC3D4A1F-71F8-4EF1-8264-CB530B1BCA40}"/>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 name="Text Box 5">
          <a:extLst>
            <a:ext uri="{FF2B5EF4-FFF2-40B4-BE49-F238E27FC236}">
              <a16:creationId xmlns:a16="http://schemas.microsoft.com/office/drawing/2014/main" id="{94399F97-D613-47A9-A6D8-3B99D5E60977}"/>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 name="Text Box 10">
          <a:extLst>
            <a:ext uri="{FF2B5EF4-FFF2-40B4-BE49-F238E27FC236}">
              <a16:creationId xmlns:a16="http://schemas.microsoft.com/office/drawing/2014/main" id="{65A68D78-EE9D-438C-9DA5-CFC036DA8A66}"/>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 name="Text Box 9">
          <a:extLst>
            <a:ext uri="{FF2B5EF4-FFF2-40B4-BE49-F238E27FC236}">
              <a16:creationId xmlns:a16="http://schemas.microsoft.com/office/drawing/2014/main" id="{48590FA6-3FB3-4036-A795-09B7F1DC8EE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8" name="Text Box 5">
          <a:extLst>
            <a:ext uri="{FF2B5EF4-FFF2-40B4-BE49-F238E27FC236}">
              <a16:creationId xmlns:a16="http://schemas.microsoft.com/office/drawing/2014/main" id="{26FE1A30-B8BF-41FF-A89F-E848D18369FC}"/>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9" name="Text Box 18">
          <a:extLst>
            <a:ext uri="{FF2B5EF4-FFF2-40B4-BE49-F238E27FC236}">
              <a16:creationId xmlns:a16="http://schemas.microsoft.com/office/drawing/2014/main" id="{909049DA-68AB-4CC0-8DBC-6215611BC2F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0" name="Text Box 5">
          <a:extLst>
            <a:ext uri="{FF2B5EF4-FFF2-40B4-BE49-F238E27FC236}">
              <a16:creationId xmlns:a16="http://schemas.microsoft.com/office/drawing/2014/main" id="{67599EBC-0C8B-4E44-92CA-BA7A5357F6EA}"/>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1" name="Text Box 5">
          <a:extLst>
            <a:ext uri="{FF2B5EF4-FFF2-40B4-BE49-F238E27FC236}">
              <a16:creationId xmlns:a16="http://schemas.microsoft.com/office/drawing/2014/main" id="{E26C9539-6504-412E-A628-4A580751D0B8}"/>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2" name="Text Box 18">
          <a:extLst>
            <a:ext uri="{FF2B5EF4-FFF2-40B4-BE49-F238E27FC236}">
              <a16:creationId xmlns:a16="http://schemas.microsoft.com/office/drawing/2014/main" id="{3CBB25B5-88F7-4E38-A3F8-8458E51457ED}"/>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3" name="Text Box 5">
          <a:extLst>
            <a:ext uri="{FF2B5EF4-FFF2-40B4-BE49-F238E27FC236}">
              <a16:creationId xmlns:a16="http://schemas.microsoft.com/office/drawing/2014/main" id="{9EA6FC92-758B-4F75-8B83-3D3C6588F7D2}"/>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4" name="Text Box 10">
          <a:extLst>
            <a:ext uri="{FF2B5EF4-FFF2-40B4-BE49-F238E27FC236}">
              <a16:creationId xmlns:a16="http://schemas.microsoft.com/office/drawing/2014/main" id="{33E03A52-94C6-42E8-8937-3FB170BC40CD}"/>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5" name="Text Box 9">
          <a:extLst>
            <a:ext uri="{FF2B5EF4-FFF2-40B4-BE49-F238E27FC236}">
              <a16:creationId xmlns:a16="http://schemas.microsoft.com/office/drawing/2014/main" id="{352F1164-71F3-47FF-B704-E218912E1A7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6" name="Text Box 5">
          <a:extLst>
            <a:ext uri="{FF2B5EF4-FFF2-40B4-BE49-F238E27FC236}">
              <a16:creationId xmlns:a16="http://schemas.microsoft.com/office/drawing/2014/main" id="{C5D2746D-E614-4BA0-82A8-D83651652A9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7" name="Text Box 18">
          <a:extLst>
            <a:ext uri="{FF2B5EF4-FFF2-40B4-BE49-F238E27FC236}">
              <a16:creationId xmlns:a16="http://schemas.microsoft.com/office/drawing/2014/main" id="{CF8AF307-B693-4614-8628-B42D6F5A170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8" name="Text Box 5">
          <a:extLst>
            <a:ext uri="{FF2B5EF4-FFF2-40B4-BE49-F238E27FC236}">
              <a16:creationId xmlns:a16="http://schemas.microsoft.com/office/drawing/2014/main" id="{66ACEB3C-1B7B-45A4-80D4-2A34A9010F5A}"/>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9" name="Text Box 18">
          <a:extLst>
            <a:ext uri="{FF2B5EF4-FFF2-40B4-BE49-F238E27FC236}">
              <a16:creationId xmlns:a16="http://schemas.microsoft.com/office/drawing/2014/main" id="{08BC03F6-8A19-40D4-A33C-A5074B12EA5E}"/>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0" name="Text Box 5">
          <a:extLst>
            <a:ext uri="{FF2B5EF4-FFF2-40B4-BE49-F238E27FC236}">
              <a16:creationId xmlns:a16="http://schemas.microsoft.com/office/drawing/2014/main" id="{A1E6E4AF-0100-400F-B12A-4B200DF6751B}"/>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1" name="Text Box 18">
          <a:extLst>
            <a:ext uri="{FF2B5EF4-FFF2-40B4-BE49-F238E27FC236}">
              <a16:creationId xmlns:a16="http://schemas.microsoft.com/office/drawing/2014/main" id="{DE791989-889A-4CB1-847D-A4B6D7D3DE99}"/>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2" name="Text Box 5">
          <a:extLst>
            <a:ext uri="{FF2B5EF4-FFF2-40B4-BE49-F238E27FC236}">
              <a16:creationId xmlns:a16="http://schemas.microsoft.com/office/drawing/2014/main" id="{7F92FB3E-10E8-4879-B9BE-3E82282EA585}"/>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3" name="Text Box 10">
          <a:extLst>
            <a:ext uri="{FF2B5EF4-FFF2-40B4-BE49-F238E27FC236}">
              <a16:creationId xmlns:a16="http://schemas.microsoft.com/office/drawing/2014/main" id="{F8173E1E-971C-403E-BBB6-A2ED4DE96C27}"/>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4" name="Text Box 9">
          <a:extLst>
            <a:ext uri="{FF2B5EF4-FFF2-40B4-BE49-F238E27FC236}">
              <a16:creationId xmlns:a16="http://schemas.microsoft.com/office/drawing/2014/main" id="{885612C5-83C4-4B4E-93F8-0D6AEA98331E}"/>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5" name="Text Box 5">
          <a:extLst>
            <a:ext uri="{FF2B5EF4-FFF2-40B4-BE49-F238E27FC236}">
              <a16:creationId xmlns:a16="http://schemas.microsoft.com/office/drawing/2014/main" id="{188A6D84-CDCC-494E-988C-3C43E51DF87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6" name="Text Box 18">
          <a:extLst>
            <a:ext uri="{FF2B5EF4-FFF2-40B4-BE49-F238E27FC236}">
              <a16:creationId xmlns:a16="http://schemas.microsoft.com/office/drawing/2014/main" id="{1DD0CA2A-22E1-45A9-AB70-E5BFBB940F40}"/>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7" name="Text Box 18">
          <a:extLst>
            <a:ext uri="{FF2B5EF4-FFF2-40B4-BE49-F238E27FC236}">
              <a16:creationId xmlns:a16="http://schemas.microsoft.com/office/drawing/2014/main" id="{D55F426D-E58A-465B-9E1F-B8395290AA4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8" name="Text Box 5">
          <a:extLst>
            <a:ext uri="{FF2B5EF4-FFF2-40B4-BE49-F238E27FC236}">
              <a16:creationId xmlns:a16="http://schemas.microsoft.com/office/drawing/2014/main" id="{A315D92A-B8CC-4DBE-8BDD-15CB2E6C0E6F}"/>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9" name="Text Box 18">
          <a:extLst>
            <a:ext uri="{FF2B5EF4-FFF2-40B4-BE49-F238E27FC236}">
              <a16:creationId xmlns:a16="http://schemas.microsoft.com/office/drawing/2014/main" id="{64C8EE1A-1826-4E05-8E7F-39B7BD074F41}"/>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0" name="Text Box 5">
          <a:extLst>
            <a:ext uri="{FF2B5EF4-FFF2-40B4-BE49-F238E27FC236}">
              <a16:creationId xmlns:a16="http://schemas.microsoft.com/office/drawing/2014/main" id="{4738814A-CF2D-4988-9F42-753C21FF0576}"/>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1" name="Text Box 10">
          <a:extLst>
            <a:ext uri="{FF2B5EF4-FFF2-40B4-BE49-F238E27FC236}">
              <a16:creationId xmlns:a16="http://schemas.microsoft.com/office/drawing/2014/main" id="{E6188FEE-40F6-4E37-83A5-1AB65D0030C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2" name="Text Box 9">
          <a:extLst>
            <a:ext uri="{FF2B5EF4-FFF2-40B4-BE49-F238E27FC236}">
              <a16:creationId xmlns:a16="http://schemas.microsoft.com/office/drawing/2014/main" id="{BE9929B7-917F-4930-AC62-8DD4EE27F1A7}"/>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3" name="Text Box 5">
          <a:extLst>
            <a:ext uri="{FF2B5EF4-FFF2-40B4-BE49-F238E27FC236}">
              <a16:creationId xmlns:a16="http://schemas.microsoft.com/office/drawing/2014/main" id="{BF112C2A-5CC6-4638-ACF5-7A577605590A}"/>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4" name="Text Box 18">
          <a:extLst>
            <a:ext uri="{FF2B5EF4-FFF2-40B4-BE49-F238E27FC236}">
              <a16:creationId xmlns:a16="http://schemas.microsoft.com/office/drawing/2014/main" id="{24B343B2-C7C6-478C-B072-8C9A25417659}"/>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5" name="Text Box 5">
          <a:extLst>
            <a:ext uri="{FF2B5EF4-FFF2-40B4-BE49-F238E27FC236}">
              <a16:creationId xmlns:a16="http://schemas.microsoft.com/office/drawing/2014/main" id="{DC778BDC-4113-4CF8-9B87-715E00A593E8}"/>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6" name="Text Box 5">
          <a:extLst>
            <a:ext uri="{FF2B5EF4-FFF2-40B4-BE49-F238E27FC236}">
              <a16:creationId xmlns:a16="http://schemas.microsoft.com/office/drawing/2014/main" id="{26DFF393-7A46-4A81-BF91-68D5BADF09C1}"/>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7" name="Text Box 18">
          <a:extLst>
            <a:ext uri="{FF2B5EF4-FFF2-40B4-BE49-F238E27FC236}">
              <a16:creationId xmlns:a16="http://schemas.microsoft.com/office/drawing/2014/main" id="{2152900A-A904-4C78-B38D-A77B6DB151CF}"/>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8" name="Text Box 5">
          <a:extLst>
            <a:ext uri="{FF2B5EF4-FFF2-40B4-BE49-F238E27FC236}">
              <a16:creationId xmlns:a16="http://schemas.microsoft.com/office/drawing/2014/main" id="{91BB20E0-B219-4036-8740-31C0707FBAF9}"/>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9" name="Text Box 10">
          <a:extLst>
            <a:ext uri="{FF2B5EF4-FFF2-40B4-BE49-F238E27FC236}">
              <a16:creationId xmlns:a16="http://schemas.microsoft.com/office/drawing/2014/main" id="{644BD80D-394A-4E49-A660-9273891DAC2B}"/>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0" name="Text Box 9">
          <a:extLst>
            <a:ext uri="{FF2B5EF4-FFF2-40B4-BE49-F238E27FC236}">
              <a16:creationId xmlns:a16="http://schemas.microsoft.com/office/drawing/2014/main" id="{9570E96F-EF5E-4BAB-9190-DC6F64402126}"/>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1" name="Text Box 5">
          <a:extLst>
            <a:ext uri="{FF2B5EF4-FFF2-40B4-BE49-F238E27FC236}">
              <a16:creationId xmlns:a16="http://schemas.microsoft.com/office/drawing/2014/main" id="{EE4FE207-22AB-43F4-B88A-1A243E8918D1}"/>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2" name="Text Box 18">
          <a:extLst>
            <a:ext uri="{FF2B5EF4-FFF2-40B4-BE49-F238E27FC236}">
              <a16:creationId xmlns:a16="http://schemas.microsoft.com/office/drawing/2014/main" id="{80B28C13-48FF-49BA-9B05-722C76393F6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3" name="Text Box 5">
          <a:extLst>
            <a:ext uri="{FF2B5EF4-FFF2-40B4-BE49-F238E27FC236}">
              <a16:creationId xmlns:a16="http://schemas.microsoft.com/office/drawing/2014/main" id="{B40F8960-EFFD-4F78-8411-A850542AF1D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4" name="Text Box 18">
          <a:extLst>
            <a:ext uri="{FF2B5EF4-FFF2-40B4-BE49-F238E27FC236}">
              <a16:creationId xmlns:a16="http://schemas.microsoft.com/office/drawing/2014/main" id="{A5B81F30-755F-4210-BBC2-19331ED8782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5" name="Text Box 5">
          <a:extLst>
            <a:ext uri="{FF2B5EF4-FFF2-40B4-BE49-F238E27FC236}">
              <a16:creationId xmlns:a16="http://schemas.microsoft.com/office/drawing/2014/main" id="{2DD50902-7C03-48AC-8E28-86BD28D609CF}"/>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6" name="Text Box 18">
          <a:extLst>
            <a:ext uri="{FF2B5EF4-FFF2-40B4-BE49-F238E27FC236}">
              <a16:creationId xmlns:a16="http://schemas.microsoft.com/office/drawing/2014/main" id="{B6950D2C-AE99-4838-8C70-104F476F53A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7" name="Text Box 5">
          <a:extLst>
            <a:ext uri="{FF2B5EF4-FFF2-40B4-BE49-F238E27FC236}">
              <a16:creationId xmlns:a16="http://schemas.microsoft.com/office/drawing/2014/main" id="{A828DB77-1ECF-464A-A9BE-917A8DE18DF9}"/>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8" name="Text Box 10">
          <a:extLst>
            <a:ext uri="{FF2B5EF4-FFF2-40B4-BE49-F238E27FC236}">
              <a16:creationId xmlns:a16="http://schemas.microsoft.com/office/drawing/2014/main" id="{0C0106D9-BB61-43C2-811B-55FFC0C4DB2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9" name="Text Box 9">
          <a:extLst>
            <a:ext uri="{FF2B5EF4-FFF2-40B4-BE49-F238E27FC236}">
              <a16:creationId xmlns:a16="http://schemas.microsoft.com/office/drawing/2014/main" id="{D7181139-138B-4829-BCB4-E30211AFCDBE}"/>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0" name="Text Box 5">
          <a:extLst>
            <a:ext uri="{FF2B5EF4-FFF2-40B4-BE49-F238E27FC236}">
              <a16:creationId xmlns:a16="http://schemas.microsoft.com/office/drawing/2014/main" id="{9DC4E74F-8D5E-4849-8A01-E36EDEF83228}"/>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1" name="Text Box 18">
          <a:extLst>
            <a:ext uri="{FF2B5EF4-FFF2-40B4-BE49-F238E27FC236}">
              <a16:creationId xmlns:a16="http://schemas.microsoft.com/office/drawing/2014/main" id="{E9D25E19-DB82-4477-8E43-C9CA0EE5BFDE}"/>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2" name="Text Box 5">
          <a:extLst>
            <a:ext uri="{FF2B5EF4-FFF2-40B4-BE49-F238E27FC236}">
              <a16:creationId xmlns:a16="http://schemas.microsoft.com/office/drawing/2014/main" id="{7B674758-C3D7-4609-B713-5AB41F066390}"/>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3" name="Text Box 18">
          <a:extLst>
            <a:ext uri="{FF2B5EF4-FFF2-40B4-BE49-F238E27FC236}">
              <a16:creationId xmlns:a16="http://schemas.microsoft.com/office/drawing/2014/main" id="{6814747E-51DC-4F97-BBF7-84940EDC4BF2}"/>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4" name="Text Box 5">
          <a:extLst>
            <a:ext uri="{FF2B5EF4-FFF2-40B4-BE49-F238E27FC236}">
              <a16:creationId xmlns:a16="http://schemas.microsoft.com/office/drawing/2014/main" id="{3189A3AF-381B-44F7-B684-5F3B2B99FC0F}"/>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5" name="Text Box 18">
          <a:extLst>
            <a:ext uri="{FF2B5EF4-FFF2-40B4-BE49-F238E27FC236}">
              <a16:creationId xmlns:a16="http://schemas.microsoft.com/office/drawing/2014/main" id="{1103A6D1-EE4C-48A2-B19D-5A52817687F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6" name="Text Box 5">
          <a:extLst>
            <a:ext uri="{FF2B5EF4-FFF2-40B4-BE49-F238E27FC236}">
              <a16:creationId xmlns:a16="http://schemas.microsoft.com/office/drawing/2014/main" id="{8180247F-7541-4A87-AAFE-72BF5FFE3C6F}"/>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7" name="Text Box 10">
          <a:extLst>
            <a:ext uri="{FF2B5EF4-FFF2-40B4-BE49-F238E27FC236}">
              <a16:creationId xmlns:a16="http://schemas.microsoft.com/office/drawing/2014/main" id="{DD2A4688-5DAB-4E0A-B2A9-9DCCCAFDB799}"/>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8" name="Text Box 9">
          <a:extLst>
            <a:ext uri="{FF2B5EF4-FFF2-40B4-BE49-F238E27FC236}">
              <a16:creationId xmlns:a16="http://schemas.microsoft.com/office/drawing/2014/main" id="{5A293DA6-B682-4122-80E7-40D9B14B1C6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9" name="Text Box 5">
          <a:extLst>
            <a:ext uri="{FF2B5EF4-FFF2-40B4-BE49-F238E27FC236}">
              <a16:creationId xmlns:a16="http://schemas.microsoft.com/office/drawing/2014/main" id="{204ECFAB-D6C3-4F68-A110-965277C47912}"/>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0" name="Text Box 18">
          <a:extLst>
            <a:ext uri="{FF2B5EF4-FFF2-40B4-BE49-F238E27FC236}">
              <a16:creationId xmlns:a16="http://schemas.microsoft.com/office/drawing/2014/main" id="{E79BC979-C9A6-4591-A1D0-16433CD6899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1" name="Text Box 5">
          <a:extLst>
            <a:ext uri="{FF2B5EF4-FFF2-40B4-BE49-F238E27FC236}">
              <a16:creationId xmlns:a16="http://schemas.microsoft.com/office/drawing/2014/main" id="{8850CABF-3A1D-4F49-B5B0-DD15837D3CB9}"/>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2" name="Text Box 5">
          <a:extLst>
            <a:ext uri="{FF2B5EF4-FFF2-40B4-BE49-F238E27FC236}">
              <a16:creationId xmlns:a16="http://schemas.microsoft.com/office/drawing/2014/main" id="{D9DB218C-3FE1-42EE-912C-85E224DE04C7}"/>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3" name="Text Box 18">
          <a:extLst>
            <a:ext uri="{FF2B5EF4-FFF2-40B4-BE49-F238E27FC236}">
              <a16:creationId xmlns:a16="http://schemas.microsoft.com/office/drawing/2014/main" id="{DE05231F-E084-447B-9BB1-ED6A5D29E7F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4" name="Text Box 5">
          <a:extLst>
            <a:ext uri="{FF2B5EF4-FFF2-40B4-BE49-F238E27FC236}">
              <a16:creationId xmlns:a16="http://schemas.microsoft.com/office/drawing/2014/main" id="{A7459E2F-EF3B-4760-99E0-FD86291C065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5" name="Text Box 10">
          <a:extLst>
            <a:ext uri="{FF2B5EF4-FFF2-40B4-BE49-F238E27FC236}">
              <a16:creationId xmlns:a16="http://schemas.microsoft.com/office/drawing/2014/main" id="{1EB6AE35-F51B-44C9-AFC8-3A03FF94049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6" name="Text Box 9">
          <a:extLst>
            <a:ext uri="{FF2B5EF4-FFF2-40B4-BE49-F238E27FC236}">
              <a16:creationId xmlns:a16="http://schemas.microsoft.com/office/drawing/2014/main" id="{49BE5392-2907-4B6C-8206-28E95F12B2A6}"/>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7" name="Text Box 5">
          <a:extLst>
            <a:ext uri="{FF2B5EF4-FFF2-40B4-BE49-F238E27FC236}">
              <a16:creationId xmlns:a16="http://schemas.microsoft.com/office/drawing/2014/main" id="{E832243C-402F-4CC6-BBDC-616DDD2B10E4}"/>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8" name="Text Box 18">
          <a:extLst>
            <a:ext uri="{FF2B5EF4-FFF2-40B4-BE49-F238E27FC236}">
              <a16:creationId xmlns:a16="http://schemas.microsoft.com/office/drawing/2014/main" id="{3A34D286-6B5C-41E9-83A5-AB78ABF35460}"/>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9" name="Text Box 5">
          <a:extLst>
            <a:ext uri="{FF2B5EF4-FFF2-40B4-BE49-F238E27FC236}">
              <a16:creationId xmlns:a16="http://schemas.microsoft.com/office/drawing/2014/main" id="{993F456A-FB80-4AFB-9A11-B76940BC4AEA}"/>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0" name="Text Box 18">
          <a:extLst>
            <a:ext uri="{FF2B5EF4-FFF2-40B4-BE49-F238E27FC236}">
              <a16:creationId xmlns:a16="http://schemas.microsoft.com/office/drawing/2014/main" id="{322BB32D-AD15-4D72-8FDB-10D33FD80902}"/>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71" name="Text Box 5">
          <a:extLst>
            <a:ext uri="{FF2B5EF4-FFF2-40B4-BE49-F238E27FC236}">
              <a16:creationId xmlns:a16="http://schemas.microsoft.com/office/drawing/2014/main" id="{F4C1982F-4C43-46AD-857F-564F73B780AD}"/>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2" name="Text Box 18">
          <a:extLst>
            <a:ext uri="{FF2B5EF4-FFF2-40B4-BE49-F238E27FC236}">
              <a16:creationId xmlns:a16="http://schemas.microsoft.com/office/drawing/2014/main" id="{A8CC6F04-32F8-4087-893C-0C30F774984F}"/>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73" name="Text Box 5">
          <a:extLst>
            <a:ext uri="{FF2B5EF4-FFF2-40B4-BE49-F238E27FC236}">
              <a16:creationId xmlns:a16="http://schemas.microsoft.com/office/drawing/2014/main" id="{6BAF2036-9E23-4EA7-9EB2-F17713D61FC6}"/>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4" name="Text Box 10">
          <a:extLst>
            <a:ext uri="{FF2B5EF4-FFF2-40B4-BE49-F238E27FC236}">
              <a16:creationId xmlns:a16="http://schemas.microsoft.com/office/drawing/2014/main" id="{57C3A87D-A2E0-4CF3-B9B1-9EB4D4956BC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5" name="Text Box 9">
          <a:extLst>
            <a:ext uri="{FF2B5EF4-FFF2-40B4-BE49-F238E27FC236}">
              <a16:creationId xmlns:a16="http://schemas.microsoft.com/office/drawing/2014/main" id="{BF59BFCF-9351-40AC-98D1-7F254D65F10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76" name="Text Box 5">
          <a:extLst>
            <a:ext uri="{FF2B5EF4-FFF2-40B4-BE49-F238E27FC236}">
              <a16:creationId xmlns:a16="http://schemas.microsoft.com/office/drawing/2014/main" id="{0666227A-352E-42C3-A0FC-194B19D95E60}"/>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7" name="Text Box 18">
          <a:extLst>
            <a:ext uri="{FF2B5EF4-FFF2-40B4-BE49-F238E27FC236}">
              <a16:creationId xmlns:a16="http://schemas.microsoft.com/office/drawing/2014/main" id="{5186A204-538C-4AC2-9FD7-E3B025DFC1F0}"/>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78" name="Text Box 5">
          <a:extLst>
            <a:ext uri="{FF2B5EF4-FFF2-40B4-BE49-F238E27FC236}">
              <a16:creationId xmlns:a16="http://schemas.microsoft.com/office/drawing/2014/main" id="{7D99C8D5-4882-4DAC-90C9-F035C4300F1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79" name="Text Box 18">
          <a:extLst>
            <a:ext uri="{FF2B5EF4-FFF2-40B4-BE49-F238E27FC236}">
              <a16:creationId xmlns:a16="http://schemas.microsoft.com/office/drawing/2014/main" id="{53258491-5CF4-43A6-8B49-DD4AAAAC6D0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80" name="Text Box 5">
          <a:extLst>
            <a:ext uri="{FF2B5EF4-FFF2-40B4-BE49-F238E27FC236}">
              <a16:creationId xmlns:a16="http://schemas.microsoft.com/office/drawing/2014/main" id="{E8D403D4-B8E3-4A2D-B638-B48B0490D60D}"/>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81" name="Text Box 18">
          <a:extLst>
            <a:ext uri="{FF2B5EF4-FFF2-40B4-BE49-F238E27FC236}">
              <a16:creationId xmlns:a16="http://schemas.microsoft.com/office/drawing/2014/main" id="{CBCD7CEF-7E39-4B74-9986-67E3D87E4E59}"/>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82" name="Text Box 5">
          <a:extLst>
            <a:ext uri="{FF2B5EF4-FFF2-40B4-BE49-F238E27FC236}">
              <a16:creationId xmlns:a16="http://schemas.microsoft.com/office/drawing/2014/main" id="{413D3F63-7661-4BB3-BDB8-350B75D9A4C8}"/>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83" name="Text Box 10">
          <a:extLst>
            <a:ext uri="{FF2B5EF4-FFF2-40B4-BE49-F238E27FC236}">
              <a16:creationId xmlns:a16="http://schemas.microsoft.com/office/drawing/2014/main" id="{6CC5CF55-EBBE-4736-8549-75EC2409AAD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84" name="Text Box 9">
          <a:extLst>
            <a:ext uri="{FF2B5EF4-FFF2-40B4-BE49-F238E27FC236}">
              <a16:creationId xmlns:a16="http://schemas.microsoft.com/office/drawing/2014/main" id="{C5A01BAF-D81A-4AB6-AD47-7B57D67C30DE}"/>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85" name="Text Box 5">
          <a:extLst>
            <a:ext uri="{FF2B5EF4-FFF2-40B4-BE49-F238E27FC236}">
              <a16:creationId xmlns:a16="http://schemas.microsoft.com/office/drawing/2014/main" id="{C46C2B9D-21FD-435C-97F9-582CD23FAC84}"/>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86" name="Text Box 18">
          <a:extLst>
            <a:ext uri="{FF2B5EF4-FFF2-40B4-BE49-F238E27FC236}">
              <a16:creationId xmlns:a16="http://schemas.microsoft.com/office/drawing/2014/main" id="{C115E1F4-BE7A-40B6-8A3B-969B9285A51F}"/>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87" name="Text Box 5">
          <a:extLst>
            <a:ext uri="{FF2B5EF4-FFF2-40B4-BE49-F238E27FC236}">
              <a16:creationId xmlns:a16="http://schemas.microsoft.com/office/drawing/2014/main" id="{EE6C50D3-990E-4D2A-B922-8222C214F874}"/>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88" name="Text Box 5">
          <a:extLst>
            <a:ext uri="{FF2B5EF4-FFF2-40B4-BE49-F238E27FC236}">
              <a16:creationId xmlns:a16="http://schemas.microsoft.com/office/drawing/2014/main" id="{951B710C-17E1-4087-B30D-7DCC0AAED3C5}"/>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89" name="Text Box 18">
          <a:extLst>
            <a:ext uri="{FF2B5EF4-FFF2-40B4-BE49-F238E27FC236}">
              <a16:creationId xmlns:a16="http://schemas.microsoft.com/office/drawing/2014/main" id="{D3178C04-33B6-4DF2-BD51-B82740303A52}"/>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90" name="Text Box 5">
          <a:extLst>
            <a:ext uri="{FF2B5EF4-FFF2-40B4-BE49-F238E27FC236}">
              <a16:creationId xmlns:a16="http://schemas.microsoft.com/office/drawing/2014/main" id="{528D56BD-2947-476E-9603-5282FCB81555}"/>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91" name="Text Box 10">
          <a:extLst>
            <a:ext uri="{FF2B5EF4-FFF2-40B4-BE49-F238E27FC236}">
              <a16:creationId xmlns:a16="http://schemas.microsoft.com/office/drawing/2014/main" id="{C4061B36-DF9C-4DF9-9197-25DD502E2E1F}"/>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92" name="Text Box 9">
          <a:extLst>
            <a:ext uri="{FF2B5EF4-FFF2-40B4-BE49-F238E27FC236}">
              <a16:creationId xmlns:a16="http://schemas.microsoft.com/office/drawing/2014/main" id="{F794399B-851A-4237-B69E-B0707F8F5A35}"/>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93" name="Text Box 5">
          <a:extLst>
            <a:ext uri="{FF2B5EF4-FFF2-40B4-BE49-F238E27FC236}">
              <a16:creationId xmlns:a16="http://schemas.microsoft.com/office/drawing/2014/main" id="{53CFFEFC-1802-4630-9CF1-71A154B4E34A}"/>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94" name="Text Box 18">
          <a:extLst>
            <a:ext uri="{FF2B5EF4-FFF2-40B4-BE49-F238E27FC236}">
              <a16:creationId xmlns:a16="http://schemas.microsoft.com/office/drawing/2014/main" id="{24C3AEC6-3D4B-4353-830D-73E30BEBC330}"/>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95" name="Text Box 5">
          <a:extLst>
            <a:ext uri="{FF2B5EF4-FFF2-40B4-BE49-F238E27FC236}">
              <a16:creationId xmlns:a16="http://schemas.microsoft.com/office/drawing/2014/main" id="{2A48F200-33CD-40E2-BE36-61B29D158101}"/>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96" name="Text Box 18">
          <a:extLst>
            <a:ext uri="{FF2B5EF4-FFF2-40B4-BE49-F238E27FC236}">
              <a16:creationId xmlns:a16="http://schemas.microsoft.com/office/drawing/2014/main" id="{61CB2743-FC25-435D-A07A-5C47A77C17BB}"/>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97" name="Text Box 5">
          <a:extLst>
            <a:ext uri="{FF2B5EF4-FFF2-40B4-BE49-F238E27FC236}">
              <a16:creationId xmlns:a16="http://schemas.microsoft.com/office/drawing/2014/main" id="{B426BED5-2BDD-4DEE-98EB-2111CD89C578}"/>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98" name="Text Box 18">
          <a:extLst>
            <a:ext uri="{FF2B5EF4-FFF2-40B4-BE49-F238E27FC236}">
              <a16:creationId xmlns:a16="http://schemas.microsoft.com/office/drawing/2014/main" id="{89FB74AE-FA4F-498E-9DBF-8952468A224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99" name="Text Box 5">
          <a:extLst>
            <a:ext uri="{FF2B5EF4-FFF2-40B4-BE49-F238E27FC236}">
              <a16:creationId xmlns:a16="http://schemas.microsoft.com/office/drawing/2014/main" id="{A1E04528-7F3C-45BA-ADA7-F1F756767CF2}"/>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00" name="Text Box 10">
          <a:extLst>
            <a:ext uri="{FF2B5EF4-FFF2-40B4-BE49-F238E27FC236}">
              <a16:creationId xmlns:a16="http://schemas.microsoft.com/office/drawing/2014/main" id="{73023DA2-114D-4D38-A442-CC60D5C7128D}"/>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01" name="Text Box 9">
          <a:extLst>
            <a:ext uri="{FF2B5EF4-FFF2-40B4-BE49-F238E27FC236}">
              <a16:creationId xmlns:a16="http://schemas.microsoft.com/office/drawing/2014/main" id="{FF08B96C-2106-4EEB-993C-C71522D8EA7B}"/>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02" name="Text Box 5">
          <a:extLst>
            <a:ext uri="{FF2B5EF4-FFF2-40B4-BE49-F238E27FC236}">
              <a16:creationId xmlns:a16="http://schemas.microsoft.com/office/drawing/2014/main" id="{16C21780-AEAB-461A-A7F2-80C7ECD19E72}"/>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03" name="Text Box 18">
          <a:extLst>
            <a:ext uri="{FF2B5EF4-FFF2-40B4-BE49-F238E27FC236}">
              <a16:creationId xmlns:a16="http://schemas.microsoft.com/office/drawing/2014/main" id="{DFDFECED-B9EA-4FC7-8858-2CFB18E6C23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57150</xdr:colOff>
      <xdr:row>0</xdr:row>
      <xdr:rowOff>123825</xdr:rowOff>
    </xdr:from>
    <xdr:to>
      <xdr:col>1</xdr:col>
      <xdr:colOff>895350</xdr:colOff>
      <xdr:row>0</xdr:row>
      <xdr:rowOff>695325</xdr:rowOff>
    </xdr:to>
    <xdr:pic>
      <xdr:nvPicPr>
        <xdr:cNvPr id="104" name="Picture 81">
          <a:extLst>
            <a:ext uri="{FF2B5EF4-FFF2-40B4-BE49-F238E27FC236}">
              <a16:creationId xmlns:a16="http://schemas.microsoft.com/office/drawing/2014/main" id="{9B35FC6C-BC0B-4989-A246-C30BB68CE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23825"/>
          <a:ext cx="1352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1038225</xdr:colOff>
      <xdr:row>0</xdr:row>
      <xdr:rowOff>47625</xdr:rowOff>
    </xdr:from>
    <xdr:to>
      <xdr:col>5</xdr:col>
      <xdr:colOff>647700</xdr:colOff>
      <xdr:row>0</xdr:row>
      <xdr:rowOff>723900</xdr:rowOff>
    </xdr:to>
    <xdr:pic>
      <xdr:nvPicPr>
        <xdr:cNvPr id="105" name="Picture 106">
          <a:extLst>
            <a:ext uri="{FF2B5EF4-FFF2-40B4-BE49-F238E27FC236}">
              <a16:creationId xmlns:a16="http://schemas.microsoft.com/office/drawing/2014/main" id="{E2855306-3FE8-4220-A5AA-53A939E550F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2575" y="47625"/>
          <a:ext cx="46958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923925</xdr:colOff>
      <xdr:row>0</xdr:row>
      <xdr:rowOff>0</xdr:rowOff>
    </xdr:from>
    <xdr:to>
      <xdr:col>1</xdr:col>
      <xdr:colOff>2933700</xdr:colOff>
      <xdr:row>1</xdr:row>
      <xdr:rowOff>47625</xdr:rowOff>
    </xdr:to>
    <xdr:sp macro="" textlink="">
      <xdr:nvSpPr>
        <xdr:cNvPr id="2" name="Text Box 18">
          <a:extLst>
            <a:ext uri="{FF2B5EF4-FFF2-40B4-BE49-F238E27FC236}">
              <a16:creationId xmlns:a16="http://schemas.microsoft.com/office/drawing/2014/main" id="{CA8B427F-DE2F-458C-8CCA-44B00D7E9DD7}"/>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 name="Text Box 18">
          <a:extLst>
            <a:ext uri="{FF2B5EF4-FFF2-40B4-BE49-F238E27FC236}">
              <a16:creationId xmlns:a16="http://schemas.microsoft.com/office/drawing/2014/main" id="{EE1AC211-4AAC-4CEC-A42A-9A17596D419E}"/>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 name="Text Box 5">
          <a:extLst>
            <a:ext uri="{FF2B5EF4-FFF2-40B4-BE49-F238E27FC236}">
              <a16:creationId xmlns:a16="http://schemas.microsoft.com/office/drawing/2014/main" id="{79C50207-8A5A-4AB5-B7CC-18198A7C7522}"/>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 name="Text Box 10">
          <a:extLst>
            <a:ext uri="{FF2B5EF4-FFF2-40B4-BE49-F238E27FC236}">
              <a16:creationId xmlns:a16="http://schemas.microsoft.com/office/drawing/2014/main" id="{A87FDEA7-D3F3-4105-B470-6617A41C6A7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 name="Text Box 9">
          <a:extLst>
            <a:ext uri="{FF2B5EF4-FFF2-40B4-BE49-F238E27FC236}">
              <a16:creationId xmlns:a16="http://schemas.microsoft.com/office/drawing/2014/main" id="{11BDE992-C39D-46BC-AB71-585394C9F504}"/>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7" name="Text Box 5">
          <a:extLst>
            <a:ext uri="{FF2B5EF4-FFF2-40B4-BE49-F238E27FC236}">
              <a16:creationId xmlns:a16="http://schemas.microsoft.com/office/drawing/2014/main" id="{69A76251-8132-4496-ADE9-F0C2DE9CF14B}"/>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8" name="Text Box 18">
          <a:extLst>
            <a:ext uri="{FF2B5EF4-FFF2-40B4-BE49-F238E27FC236}">
              <a16:creationId xmlns:a16="http://schemas.microsoft.com/office/drawing/2014/main" id="{DC5CB606-242E-4B2D-9DCE-77517E52FEB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9" name="Text Box 5">
          <a:extLst>
            <a:ext uri="{FF2B5EF4-FFF2-40B4-BE49-F238E27FC236}">
              <a16:creationId xmlns:a16="http://schemas.microsoft.com/office/drawing/2014/main" id="{1D9DC475-1286-465B-8E63-FA8A0A795F98}"/>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0" name="Text Box 5">
          <a:extLst>
            <a:ext uri="{FF2B5EF4-FFF2-40B4-BE49-F238E27FC236}">
              <a16:creationId xmlns:a16="http://schemas.microsoft.com/office/drawing/2014/main" id="{5D3FEEC0-12E8-41D2-818D-5F1487BA305B}"/>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1" name="Text Box 18">
          <a:extLst>
            <a:ext uri="{FF2B5EF4-FFF2-40B4-BE49-F238E27FC236}">
              <a16:creationId xmlns:a16="http://schemas.microsoft.com/office/drawing/2014/main" id="{11AF7520-BDC7-432C-A79D-989C68E20E2B}"/>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2" name="Text Box 5">
          <a:extLst>
            <a:ext uri="{FF2B5EF4-FFF2-40B4-BE49-F238E27FC236}">
              <a16:creationId xmlns:a16="http://schemas.microsoft.com/office/drawing/2014/main" id="{C1089DA4-97FC-489B-943D-A21635BA8CAD}"/>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3" name="Text Box 10">
          <a:extLst>
            <a:ext uri="{FF2B5EF4-FFF2-40B4-BE49-F238E27FC236}">
              <a16:creationId xmlns:a16="http://schemas.microsoft.com/office/drawing/2014/main" id="{284FF573-21E9-4961-8306-BD78E650A1DF}"/>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4" name="Text Box 9">
          <a:extLst>
            <a:ext uri="{FF2B5EF4-FFF2-40B4-BE49-F238E27FC236}">
              <a16:creationId xmlns:a16="http://schemas.microsoft.com/office/drawing/2014/main" id="{DC266462-0728-4EBC-9367-B0EAD44F678E}"/>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5" name="Text Box 5">
          <a:extLst>
            <a:ext uri="{FF2B5EF4-FFF2-40B4-BE49-F238E27FC236}">
              <a16:creationId xmlns:a16="http://schemas.microsoft.com/office/drawing/2014/main" id="{5C811F4A-95C4-4E89-93E8-D055570310EC}"/>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6" name="Text Box 18">
          <a:extLst>
            <a:ext uri="{FF2B5EF4-FFF2-40B4-BE49-F238E27FC236}">
              <a16:creationId xmlns:a16="http://schemas.microsoft.com/office/drawing/2014/main" id="{243E399F-205F-4291-87C1-71FF06357C02}"/>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7" name="Text Box 5">
          <a:extLst>
            <a:ext uri="{FF2B5EF4-FFF2-40B4-BE49-F238E27FC236}">
              <a16:creationId xmlns:a16="http://schemas.microsoft.com/office/drawing/2014/main" id="{49003054-D985-4D92-A788-8FFBB195DC2B}"/>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18" name="Text Box 18">
          <a:extLst>
            <a:ext uri="{FF2B5EF4-FFF2-40B4-BE49-F238E27FC236}">
              <a16:creationId xmlns:a16="http://schemas.microsoft.com/office/drawing/2014/main" id="{D3807E6C-6855-42BE-A297-50517B7B4A70}"/>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19" name="Text Box 5">
          <a:extLst>
            <a:ext uri="{FF2B5EF4-FFF2-40B4-BE49-F238E27FC236}">
              <a16:creationId xmlns:a16="http://schemas.microsoft.com/office/drawing/2014/main" id="{767DC8AC-939D-4CC3-81E1-B83EF4070E54}"/>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0" name="Text Box 18">
          <a:extLst>
            <a:ext uri="{FF2B5EF4-FFF2-40B4-BE49-F238E27FC236}">
              <a16:creationId xmlns:a16="http://schemas.microsoft.com/office/drawing/2014/main" id="{39C22DAE-5616-4806-ABE8-76D04332AD48}"/>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1" name="Text Box 5">
          <a:extLst>
            <a:ext uri="{FF2B5EF4-FFF2-40B4-BE49-F238E27FC236}">
              <a16:creationId xmlns:a16="http://schemas.microsoft.com/office/drawing/2014/main" id="{CD8DD0B0-4DFC-470B-9118-085E535347BF}"/>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2" name="Text Box 10">
          <a:extLst>
            <a:ext uri="{FF2B5EF4-FFF2-40B4-BE49-F238E27FC236}">
              <a16:creationId xmlns:a16="http://schemas.microsoft.com/office/drawing/2014/main" id="{EAE92640-D766-4A0F-8A1C-B73AC2C613DD}"/>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3" name="Text Box 9">
          <a:extLst>
            <a:ext uri="{FF2B5EF4-FFF2-40B4-BE49-F238E27FC236}">
              <a16:creationId xmlns:a16="http://schemas.microsoft.com/office/drawing/2014/main" id="{BB37145E-516B-4303-9A7E-248A45C01DBF}"/>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4" name="Text Box 5">
          <a:extLst>
            <a:ext uri="{FF2B5EF4-FFF2-40B4-BE49-F238E27FC236}">
              <a16:creationId xmlns:a16="http://schemas.microsoft.com/office/drawing/2014/main" id="{BFEBBFAC-6BC6-49ED-9D81-EDCB858B8EAF}"/>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5" name="Text Box 18">
          <a:extLst>
            <a:ext uri="{FF2B5EF4-FFF2-40B4-BE49-F238E27FC236}">
              <a16:creationId xmlns:a16="http://schemas.microsoft.com/office/drawing/2014/main" id="{73CC69BB-C961-4BD1-AFA9-EA142634B58F}"/>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6" name="Text Box 5">
          <a:extLst>
            <a:ext uri="{FF2B5EF4-FFF2-40B4-BE49-F238E27FC236}">
              <a16:creationId xmlns:a16="http://schemas.microsoft.com/office/drawing/2014/main" id="{96D81A70-0AFD-41D4-A818-164D694B9D32}"/>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7" name="Text Box 18">
          <a:extLst>
            <a:ext uri="{FF2B5EF4-FFF2-40B4-BE49-F238E27FC236}">
              <a16:creationId xmlns:a16="http://schemas.microsoft.com/office/drawing/2014/main" id="{142C8BBE-17A7-4311-A3BE-DADB544E1AA5}"/>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28" name="Text Box 5">
          <a:extLst>
            <a:ext uri="{FF2B5EF4-FFF2-40B4-BE49-F238E27FC236}">
              <a16:creationId xmlns:a16="http://schemas.microsoft.com/office/drawing/2014/main" id="{51F56DA2-E028-47E2-B759-9B551715D499}"/>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29" name="Text Box 18">
          <a:extLst>
            <a:ext uri="{FF2B5EF4-FFF2-40B4-BE49-F238E27FC236}">
              <a16:creationId xmlns:a16="http://schemas.microsoft.com/office/drawing/2014/main" id="{3B3CACB4-AEF8-48F5-A630-790A761DDC2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0" name="Text Box 5">
          <a:extLst>
            <a:ext uri="{FF2B5EF4-FFF2-40B4-BE49-F238E27FC236}">
              <a16:creationId xmlns:a16="http://schemas.microsoft.com/office/drawing/2014/main" id="{C94D953F-BED2-43BD-8089-FF04061B1908}"/>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1" name="Text Box 10">
          <a:extLst>
            <a:ext uri="{FF2B5EF4-FFF2-40B4-BE49-F238E27FC236}">
              <a16:creationId xmlns:a16="http://schemas.microsoft.com/office/drawing/2014/main" id="{A4EDC5B3-C6D0-494E-9E05-8AD9EC9370C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2" name="Text Box 9">
          <a:extLst>
            <a:ext uri="{FF2B5EF4-FFF2-40B4-BE49-F238E27FC236}">
              <a16:creationId xmlns:a16="http://schemas.microsoft.com/office/drawing/2014/main" id="{CDBCBF2E-1E29-47E3-9BA9-7FDB914A4E21}"/>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3" name="Text Box 5">
          <a:extLst>
            <a:ext uri="{FF2B5EF4-FFF2-40B4-BE49-F238E27FC236}">
              <a16:creationId xmlns:a16="http://schemas.microsoft.com/office/drawing/2014/main" id="{C9BFF299-F33D-4150-8997-051A1B583A8F}"/>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4" name="Text Box 18">
          <a:extLst>
            <a:ext uri="{FF2B5EF4-FFF2-40B4-BE49-F238E27FC236}">
              <a16:creationId xmlns:a16="http://schemas.microsoft.com/office/drawing/2014/main" id="{CD3852CE-0755-4F8A-9A04-67F1DF9C1F4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5" name="Text Box 5">
          <a:extLst>
            <a:ext uri="{FF2B5EF4-FFF2-40B4-BE49-F238E27FC236}">
              <a16:creationId xmlns:a16="http://schemas.microsoft.com/office/drawing/2014/main" id="{B73C9B02-8626-4BE0-BEEF-46B9086AB8C4}"/>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6" name="Text Box 5">
          <a:extLst>
            <a:ext uri="{FF2B5EF4-FFF2-40B4-BE49-F238E27FC236}">
              <a16:creationId xmlns:a16="http://schemas.microsoft.com/office/drawing/2014/main" id="{0309CF27-72A9-4332-9BA6-45AB11FE1C2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7" name="Text Box 18">
          <a:extLst>
            <a:ext uri="{FF2B5EF4-FFF2-40B4-BE49-F238E27FC236}">
              <a16:creationId xmlns:a16="http://schemas.microsoft.com/office/drawing/2014/main" id="{1706E890-8F6D-4D72-AE97-85A854DA398C}"/>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38" name="Text Box 5">
          <a:extLst>
            <a:ext uri="{FF2B5EF4-FFF2-40B4-BE49-F238E27FC236}">
              <a16:creationId xmlns:a16="http://schemas.microsoft.com/office/drawing/2014/main" id="{51776F39-D23C-4474-8220-DEB220BF2635}"/>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39" name="Text Box 10">
          <a:extLst>
            <a:ext uri="{FF2B5EF4-FFF2-40B4-BE49-F238E27FC236}">
              <a16:creationId xmlns:a16="http://schemas.microsoft.com/office/drawing/2014/main" id="{BE908659-1455-4BCC-854E-FE8E9658B4A0}"/>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0" name="Text Box 9">
          <a:extLst>
            <a:ext uri="{FF2B5EF4-FFF2-40B4-BE49-F238E27FC236}">
              <a16:creationId xmlns:a16="http://schemas.microsoft.com/office/drawing/2014/main" id="{69F685DA-08D4-4D9D-882E-CBCF2A064F37}"/>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1" name="Text Box 5">
          <a:extLst>
            <a:ext uri="{FF2B5EF4-FFF2-40B4-BE49-F238E27FC236}">
              <a16:creationId xmlns:a16="http://schemas.microsoft.com/office/drawing/2014/main" id="{797376B0-F3DE-4E6C-8E5E-BFC36A8AD888}"/>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2" name="Text Box 18">
          <a:extLst>
            <a:ext uri="{FF2B5EF4-FFF2-40B4-BE49-F238E27FC236}">
              <a16:creationId xmlns:a16="http://schemas.microsoft.com/office/drawing/2014/main" id="{E325FFEE-55D4-4D3C-9B75-84FE8EE8F50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3" name="Text Box 5">
          <a:extLst>
            <a:ext uri="{FF2B5EF4-FFF2-40B4-BE49-F238E27FC236}">
              <a16:creationId xmlns:a16="http://schemas.microsoft.com/office/drawing/2014/main" id="{E24A5C6C-183C-4DAE-AEA9-7AD53C99CAD9}"/>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4" name="Text Box 18">
          <a:extLst>
            <a:ext uri="{FF2B5EF4-FFF2-40B4-BE49-F238E27FC236}">
              <a16:creationId xmlns:a16="http://schemas.microsoft.com/office/drawing/2014/main" id="{8D525230-529E-4B0A-AE69-DD88C72093A5}"/>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5" name="Text Box 5">
          <a:extLst>
            <a:ext uri="{FF2B5EF4-FFF2-40B4-BE49-F238E27FC236}">
              <a16:creationId xmlns:a16="http://schemas.microsoft.com/office/drawing/2014/main" id="{F0047A40-8793-416D-91F7-DFB8FF1555BB}"/>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6" name="Text Box 18">
          <a:extLst>
            <a:ext uri="{FF2B5EF4-FFF2-40B4-BE49-F238E27FC236}">
              <a16:creationId xmlns:a16="http://schemas.microsoft.com/office/drawing/2014/main" id="{743C760F-BDCA-4EE6-AB80-B8630251B5E0}"/>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47" name="Text Box 5">
          <a:extLst>
            <a:ext uri="{FF2B5EF4-FFF2-40B4-BE49-F238E27FC236}">
              <a16:creationId xmlns:a16="http://schemas.microsoft.com/office/drawing/2014/main" id="{62D6AF52-D565-46F5-914C-11C9D436F70E}"/>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8" name="Text Box 10">
          <a:extLst>
            <a:ext uri="{FF2B5EF4-FFF2-40B4-BE49-F238E27FC236}">
              <a16:creationId xmlns:a16="http://schemas.microsoft.com/office/drawing/2014/main" id="{5A463D08-2244-4A33-88E0-489AF2B9D3F2}"/>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49" name="Text Box 9">
          <a:extLst>
            <a:ext uri="{FF2B5EF4-FFF2-40B4-BE49-F238E27FC236}">
              <a16:creationId xmlns:a16="http://schemas.microsoft.com/office/drawing/2014/main" id="{47796A27-10DB-4263-80F1-290D1AF5FD4A}"/>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0" name="Text Box 5">
          <a:extLst>
            <a:ext uri="{FF2B5EF4-FFF2-40B4-BE49-F238E27FC236}">
              <a16:creationId xmlns:a16="http://schemas.microsoft.com/office/drawing/2014/main" id="{73BEFEC3-A3AD-4915-9271-BE8D0BC86DBB}"/>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1" name="Text Box 18">
          <a:extLst>
            <a:ext uri="{FF2B5EF4-FFF2-40B4-BE49-F238E27FC236}">
              <a16:creationId xmlns:a16="http://schemas.microsoft.com/office/drawing/2014/main" id="{5AF35263-2298-48DA-8866-717432A37042}"/>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2" name="Text Box 5">
          <a:extLst>
            <a:ext uri="{FF2B5EF4-FFF2-40B4-BE49-F238E27FC236}">
              <a16:creationId xmlns:a16="http://schemas.microsoft.com/office/drawing/2014/main" id="{11DD4E80-6687-4AF5-B53A-C7B29781C14E}"/>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3" name="Text Box 18">
          <a:extLst>
            <a:ext uri="{FF2B5EF4-FFF2-40B4-BE49-F238E27FC236}">
              <a16:creationId xmlns:a16="http://schemas.microsoft.com/office/drawing/2014/main" id="{C76E4A76-A64E-4689-B4A4-D5F3E516B04E}"/>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4" name="Text Box 5">
          <a:extLst>
            <a:ext uri="{FF2B5EF4-FFF2-40B4-BE49-F238E27FC236}">
              <a16:creationId xmlns:a16="http://schemas.microsoft.com/office/drawing/2014/main" id="{19C0C397-A21F-47E4-823D-07F07B3DA961}"/>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5" name="Text Box 18">
          <a:extLst>
            <a:ext uri="{FF2B5EF4-FFF2-40B4-BE49-F238E27FC236}">
              <a16:creationId xmlns:a16="http://schemas.microsoft.com/office/drawing/2014/main" id="{6CAB5119-19C9-4EE9-99FB-F41C6DD477DE}"/>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6" name="Text Box 5">
          <a:extLst>
            <a:ext uri="{FF2B5EF4-FFF2-40B4-BE49-F238E27FC236}">
              <a16:creationId xmlns:a16="http://schemas.microsoft.com/office/drawing/2014/main" id="{A07B0B02-A61E-4BCA-BF0C-120984A0B918}"/>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7" name="Text Box 10">
          <a:extLst>
            <a:ext uri="{FF2B5EF4-FFF2-40B4-BE49-F238E27FC236}">
              <a16:creationId xmlns:a16="http://schemas.microsoft.com/office/drawing/2014/main" id="{55684385-9221-496E-BFBC-8482FA298A2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58" name="Text Box 9">
          <a:extLst>
            <a:ext uri="{FF2B5EF4-FFF2-40B4-BE49-F238E27FC236}">
              <a16:creationId xmlns:a16="http://schemas.microsoft.com/office/drawing/2014/main" id="{C0E6206C-8ADE-4BF5-9E1E-50ECDB3F6463}"/>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59" name="Text Box 5">
          <a:extLst>
            <a:ext uri="{FF2B5EF4-FFF2-40B4-BE49-F238E27FC236}">
              <a16:creationId xmlns:a16="http://schemas.microsoft.com/office/drawing/2014/main" id="{DDDF8395-BF47-4DB6-A9D0-1FD6A0E2CA73}"/>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0" name="Text Box 18">
          <a:extLst>
            <a:ext uri="{FF2B5EF4-FFF2-40B4-BE49-F238E27FC236}">
              <a16:creationId xmlns:a16="http://schemas.microsoft.com/office/drawing/2014/main" id="{D0C33C65-3AF6-4D7B-9F4F-10F9FF404F2E}"/>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1" name="Text Box 5">
          <a:extLst>
            <a:ext uri="{FF2B5EF4-FFF2-40B4-BE49-F238E27FC236}">
              <a16:creationId xmlns:a16="http://schemas.microsoft.com/office/drawing/2014/main" id="{4E87DCA4-745E-472E-B6A8-27797C002366}"/>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2" name="Text Box 5">
          <a:extLst>
            <a:ext uri="{FF2B5EF4-FFF2-40B4-BE49-F238E27FC236}">
              <a16:creationId xmlns:a16="http://schemas.microsoft.com/office/drawing/2014/main" id="{9EED1518-C645-488C-8C2A-74881D318D44}"/>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3" name="Text Box 18">
          <a:extLst>
            <a:ext uri="{FF2B5EF4-FFF2-40B4-BE49-F238E27FC236}">
              <a16:creationId xmlns:a16="http://schemas.microsoft.com/office/drawing/2014/main" id="{0A770621-AE94-46BF-A9A7-4337D283FBA8}"/>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4" name="Text Box 5">
          <a:extLst>
            <a:ext uri="{FF2B5EF4-FFF2-40B4-BE49-F238E27FC236}">
              <a16:creationId xmlns:a16="http://schemas.microsoft.com/office/drawing/2014/main" id="{647C049D-1FAF-4AE9-B30E-F596836C190E}"/>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923925</xdr:colOff>
      <xdr:row>0</xdr:row>
      <xdr:rowOff>0</xdr:rowOff>
    </xdr:from>
    <xdr:to>
      <xdr:col>1</xdr:col>
      <xdr:colOff>2933700</xdr:colOff>
      <xdr:row>1</xdr:row>
      <xdr:rowOff>47625</xdr:rowOff>
    </xdr:to>
    <xdr:sp macro="" textlink="">
      <xdr:nvSpPr>
        <xdr:cNvPr id="65" name="Text Box 10">
          <a:extLst>
            <a:ext uri="{FF2B5EF4-FFF2-40B4-BE49-F238E27FC236}">
              <a16:creationId xmlns:a16="http://schemas.microsoft.com/office/drawing/2014/main" id="{4FA47013-0263-4B6E-910C-9957C8D2075F}"/>
            </a:ext>
          </a:extLst>
        </xdr:cNvPr>
        <xdr:cNvSpPr txBox="1">
          <a:spLocks noChangeArrowheads="1"/>
        </xdr:cNvSpPr>
      </xdr:nvSpPr>
      <xdr:spPr bwMode="auto">
        <a:xfrm>
          <a:off x="1438275" y="0"/>
          <a:ext cx="2009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847725</xdr:colOff>
      <xdr:row>0</xdr:row>
      <xdr:rowOff>0</xdr:rowOff>
    </xdr:from>
    <xdr:to>
      <xdr:col>1</xdr:col>
      <xdr:colOff>2828925</xdr:colOff>
      <xdr:row>1</xdr:row>
      <xdr:rowOff>47625</xdr:rowOff>
    </xdr:to>
    <xdr:sp macro="" textlink="">
      <xdr:nvSpPr>
        <xdr:cNvPr id="66" name="Text Box 5">
          <a:extLst>
            <a:ext uri="{FF2B5EF4-FFF2-40B4-BE49-F238E27FC236}">
              <a16:creationId xmlns:a16="http://schemas.microsoft.com/office/drawing/2014/main" id="{B3127860-4ABE-4116-9714-423E16CC9638}"/>
            </a:ext>
          </a:extLst>
        </xdr:cNvPr>
        <xdr:cNvSpPr txBox="1">
          <a:spLocks noChangeArrowheads="1"/>
        </xdr:cNvSpPr>
      </xdr:nvSpPr>
      <xdr:spPr bwMode="auto">
        <a:xfrm>
          <a:off x="1362075" y="0"/>
          <a:ext cx="1981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276225</xdr:colOff>
      <xdr:row>5</xdr:row>
      <xdr:rowOff>0</xdr:rowOff>
    </xdr:to>
    <xdr:sp macro="" textlink="">
      <xdr:nvSpPr>
        <xdr:cNvPr id="67" name="Text Box 1">
          <a:extLst>
            <a:ext uri="{FF2B5EF4-FFF2-40B4-BE49-F238E27FC236}">
              <a16:creationId xmlns:a16="http://schemas.microsoft.com/office/drawing/2014/main" id="{B3C6B879-48BB-4FCB-BA08-6509085ABB08}"/>
            </a:ext>
          </a:extLst>
        </xdr:cNvPr>
        <xdr:cNvSpPr txBox="1">
          <a:spLocks noChangeArrowheads="1"/>
        </xdr:cNvSpPr>
      </xdr:nvSpPr>
      <xdr:spPr bwMode="auto">
        <a:xfrm>
          <a:off x="5076825" y="1438275"/>
          <a:ext cx="2762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276225</xdr:colOff>
      <xdr:row>4</xdr:row>
      <xdr:rowOff>19050</xdr:rowOff>
    </xdr:to>
    <xdr:sp macro="" textlink="">
      <xdr:nvSpPr>
        <xdr:cNvPr id="68" name="Text Box 1">
          <a:extLst>
            <a:ext uri="{FF2B5EF4-FFF2-40B4-BE49-F238E27FC236}">
              <a16:creationId xmlns:a16="http://schemas.microsoft.com/office/drawing/2014/main" id="{734BC25B-C2DA-4088-BFCC-DF411D2AFE07}"/>
            </a:ext>
          </a:extLst>
        </xdr:cNvPr>
        <xdr:cNvSpPr txBox="1">
          <a:spLocks noChangeArrowheads="1"/>
        </xdr:cNvSpPr>
      </xdr:nvSpPr>
      <xdr:spPr bwMode="auto">
        <a:xfrm>
          <a:off x="5076825" y="1438275"/>
          <a:ext cx="2762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66675</xdr:colOff>
      <xdr:row>0</xdr:row>
      <xdr:rowOff>104775</xdr:rowOff>
    </xdr:from>
    <xdr:to>
      <xdr:col>1</xdr:col>
      <xdr:colOff>904875</xdr:colOff>
      <xdr:row>0</xdr:row>
      <xdr:rowOff>676275</xdr:rowOff>
    </xdr:to>
    <xdr:pic>
      <xdr:nvPicPr>
        <xdr:cNvPr id="69" name="Picture 81">
          <a:extLst>
            <a:ext uri="{FF2B5EF4-FFF2-40B4-BE49-F238E27FC236}">
              <a16:creationId xmlns:a16="http://schemas.microsoft.com/office/drawing/2014/main" id="{53015E80-07E2-4B6B-B7B0-3851F0F983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04775"/>
          <a:ext cx="1352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5</xdr:col>
      <xdr:colOff>638175</xdr:colOff>
      <xdr:row>0</xdr:row>
      <xdr:rowOff>733425</xdr:rowOff>
    </xdr:to>
    <xdr:pic>
      <xdr:nvPicPr>
        <xdr:cNvPr id="70" name="Picture 71">
          <a:extLst>
            <a:ext uri="{FF2B5EF4-FFF2-40B4-BE49-F238E27FC236}">
              <a16:creationId xmlns:a16="http://schemas.microsoft.com/office/drawing/2014/main" id="{85BC4CB4-9D67-435D-9B1C-AA8A2CC301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3525" y="57150"/>
          <a:ext cx="47053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bwd2\c\Miljenko\slavonski%20brod\opci%20uvjeti,%20napomene%20i%20s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vana\Desktop\224_IZ_A_KAquarium_tro&#353;kovnik_17.02.2015._CIJEN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users\USER\KLK\ZLATKO\WEROLA.XLW"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ROJEKTI\NMRO\SITSLU7F.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pzserver\instalateri\projekti\H-66-2005-BLATO%20DVORANA\Troskovnici\Instalacije\Uredaj%20za%20prociscavanje_tr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1_Projekti\270_2016%20Samostan%20Ivanec\_Tro&#353;kovnik%20%20Samostan%20Ivanec_nije%20za%20van.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users\DOCS95\BAU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NAPOMENE"/>
      <sheetName val="OPIS"/>
      <sheetName val="OU-A.I"/>
      <sheetName val="OU-A.II"/>
      <sheetName val="OU-A.III"/>
      <sheetName val="AB"/>
      <sheetName val="OU-A.IV"/>
      <sheetName val="ARMIRACKI"/>
      <sheetName val="OU-A.V"/>
      <sheetName val="ZIDARSKI"/>
      <sheetName val="OU-A.VI"/>
      <sheetName val="FASADERSKI"/>
      <sheetName val="TESARSKI"/>
      <sheetName val="OU-A.VIII"/>
      <sheetName val="KROVOPOKRIVACKI"/>
      <sheetName val="OU-A.IX"/>
      <sheetName val="HIDROIZOLATERSKI"/>
      <sheetName val="OU-A.X"/>
      <sheetName val="TERMOIZOLATERSKI"/>
      <sheetName val="OU-A.XI"/>
      <sheetName val="LIMARSKI"/>
      <sheetName val="UGRADBE"/>
      <sheetName val="OU-A.XIII"/>
      <sheetName val="STOLARSKIfs"/>
      <sheetName val="OU-A.XIV"/>
      <sheetName val="BRAVARSKIfs"/>
      <sheetName val="OU-A.XV"/>
      <sheetName val="SKELARSKI"/>
      <sheetName val="OU-A.XVI"/>
      <sheetName val="KAMENARSKIvp"/>
      <sheetName val="HORTIKULTURNI"/>
      <sheetName val="BAZEN"/>
      <sheetName val="CISCENJEg"/>
      <sheetName val="OU-B.I"/>
      <sheetName val="STOLARSKI"/>
      <sheetName val="OU-B.II"/>
      <sheetName val="BRAVARSKI"/>
      <sheetName val="OU-B.III"/>
      <sheetName val="GIPSKARTONSKI"/>
      <sheetName val="OU-B.IV"/>
      <sheetName val="KERAMICARSKI"/>
      <sheetName val="OU-B.V"/>
      <sheetName val="PARKETARSKI"/>
      <sheetName val="OU-B.VI"/>
      <sheetName val="SOBOSLIKARSKI"/>
      <sheetName val="OU-B.VII"/>
      <sheetName val="KAMENARSKI"/>
      <sheetName val="PECARSKI"/>
      <sheetName val="CISCENJEo"/>
      <sheetName val="OU-A.VII"/>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Građevinski"/>
      <sheetName val="I.C.Obrtnički"/>
      <sheetName val="I.D. Oprema"/>
      <sheetName val="Rekapitulacija GO+oprema"/>
      <sheetName val="I.A.Rusenja i demontaze"/>
      <sheetName val="Rekapitulacija GO+oprema+rusenj"/>
      <sheetName val="5. KRAJOBRAZ"/>
      <sheetName val="8.Građ trosk prometnice"/>
      <sheetName val="VII.A..VODOVOD I KANALIZACIJA"/>
      <sheetName val="Elektro"/>
      <sheetName val="DOJAVA POŽARA"/>
      <sheetName val="1-KLIMA KOMORE I VENTILATOR "/>
      <sheetName val="2-DISTRIBUCIJA ZRAKA "/>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jenik (2)"/>
      <sheetName val="cjenik _2_"/>
    </sheetNames>
    <sheetDataSet>
      <sheetData sheetId="0" refreshError="1">
        <row r="1">
          <cell r="T1" t="str">
            <v>cartons</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O.pod."/>
    </sheetNames>
    <sheetDataSet>
      <sheetData sheetId="0"/>
      <sheetData sheetId="1" refreshError="1">
        <row r="17">
          <cell r="C17" t="str">
            <v>ZAGREB                , 2-1-97</v>
          </cell>
        </row>
        <row r="22">
          <cell r="C22" t="str">
            <v>(FAZA_4_6.XLS)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vorana"/>
      <sheetName val="dogradnja škole"/>
      <sheetName val="vanjski vodovod"/>
      <sheetName val="sanacija"/>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P"/>
      <sheetName val="N Plin"/>
      <sheetName val="M Plin"/>
      <sheetName val="Gr"/>
      <sheetName val="Hl"/>
      <sheetName val="Vent"/>
      <sheetName val="Kanalizacija"/>
      <sheetName val="Vodovod"/>
      <sheetName val="POMOĆNI"/>
      <sheetName val="REKAPIT."/>
      <sheetName val="Plin UNP"/>
      <sheetName val="Plin nemjereni"/>
      <sheetName val="Plin mjereni"/>
      <sheetName val="Instalacija grijanja"/>
      <sheetName val="Instalacija hlađenja"/>
      <sheetName val="Instalacija ventilacije"/>
      <sheetName val="Rekapitulacija"/>
    </sheetNames>
    <sheetDataSet>
      <sheetData sheetId="0"/>
      <sheetData sheetId="1"/>
      <sheetData sheetId="2"/>
      <sheetData sheetId="3"/>
      <sheetData sheetId="4"/>
      <sheetData sheetId="5"/>
      <sheetData sheetId="6"/>
      <sheetData sheetId="7"/>
      <sheetData sheetId="8">
        <row r="56">
          <cell r="B56" t="str">
            <v xml:space="preserve"> - horizontalna ugradnja kolektora na ravni krov </v>
          </cell>
          <cell r="L56" t="str">
            <v xml:space="preserve"> - ugradnja na ravni krov</v>
          </cell>
        </row>
        <row r="57">
          <cell r="B57" t="str">
            <v xml:space="preserve"> - vertikalna ugradnja kolektora na ravni krov </v>
          </cell>
          <cell r="L57" t="str">
            <v xml:space="preserve"> - 1. polje ugradnja na kosi krov (standardni crijep - Bramac, Tondach)</v>
          </cell>
        </row>
        <row r="58">
          <cell r="B58" t="str">
            <v xml:space="preserve"> - hor. ugradnja jedan do drugog na kosi krov (standardni crijep - Bramac, Tondach)</v>
          </cell>
          <cell r="L58" t="str">
            <v xml:space="preserve"> - 1. polje ugradnja na kosi krov (valoviti crijep, šindra)</v>
          </cell>
        </row>
        <row r="59">
          <cell r="B59" t="str">
            <v xml:space="preserve"> - hor. ugradnja jedan do drugog na kosi krov (valoviti crijep, šindra)</v>
          </cell>
          <cell r="L59" t="str">
            <v xml:space="preserve"> - 1. polje ugradnja na kosi krov (biber crijep, šindra)</v>
          </cell>
        </row>
        <row r="60">
          <cell r="B60" t="str">
            <v xml:space="preserve"> - hor. ugradnja jedan do drugog na kosi krov (ostali tipovi krova)</v>
          </cell>
        </row>
        <row r="61">
          <cell r="B61" t="str">
            <v xml:space="preserve"> - vert. ugradnja jedan do drugog na kosi krov (standardni crijep - Bramac, Tondach)</v>
          </cell>
        </row>
        <row r="62">
          <cell r="B62" t="str">
            <v xml:space="preserve"> - vert. ugradnja jedan do drugog na kosi krov (valoviti crijep, šindra)</v>
          </cell>
        </row>
        <row r="63">
          <cell r="B63" t="str">
            <v xml:space="preserve"> - vert. ugradnja jedan do drugog na kosi krov (ostali tipovi krova)</v>
          </cell>
        </row>
        <row r="64">
          <cell r="B64" t="str">
            <v xml:space="preserve"> - hor. ugradnja jedan iznad drugog na kosi krov (standardni crijep - Bramac, Tondach)</v>
          </cell>
        </row>
        <row r="65">
          <cell r="B65" t="str">
            <v xml:space="preserve"> - hor. ugradnja jedan iznad drugog na kosi krov (valoviti crijep, šindra)</v>
          </cell>
        </row>
        <row r="66">
          <cell r="B66" t="str">
            <v xml:space="preserve"> - hor. ugradnja jedan iznad drugog na kosi krov (ostali tipovi krova)</v>
          </cell>
        </row>
        <row r="67">
          <cell r="B67" t="str">
            <v xml:space="preserve"> - vert. ugradnja jedan iznad drugog na kosi krov (standardni crijep - Bramac, Tondach)</v>
          </cell>
        </row>
        <row r="68">
          <cell r="B68" t="str">
            <v xml:space="preserve"> - vert. ugradnja jedan iznad drugog na kosi krov (valoviti crijep, šindra)</v>
          </cell>
        </row>
        <row r="69">
          <cell r="B69" t="str">
            <v xml:space="preserve"> - vert. ugradnja jedan iznad drugog na kosi krov (ostali tipovi krova)</v>
          </cell>
        </row>
        <row r="76">
          <cell r="B76" t="str">
            <v xml:space="preserve"> - ugradnja na kosi krov</v>
          </cell>
        </row>
        <row r="77">
          <cell r="B77" t="str">
            <v xml:space="preserve"> - ugradnja na ravni krov</v>
          </cell>
        </row>
      </sheetData>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offen LIDL-Troskovnik-16-17-18-"/>
      <sheetName val="V-LEVEL KRILO"/>
      <sheetName val="V-LEVEL BAZEN"/>
      <sheetName val="11 PARKING br.6.1"/>
      <sheetName val="13 ENTRY PIAZZA"/>
      <sheetName val="V LEVEL ZONA"/>
      <sheetName val="proračun"/>
      <sheetName val="elektro"/>
      <sheetName val="el_sunčana_el"/>
      <sheetName val="16__Prometnice11"/>
      <sheetName val="17__Ograda6"/>
      <sheetName val="18__Krajobraz6"/>
      <sheetName val="16__Prometnice12"/>
      <sheetName val="razni_"/>
      <sheetName val="oprema_dvor_"/>
      <sheetName val="offen_LIDL-Troskovnik-16-17-18-"/>
      <sheetName val="V-LEVEL_KRILO"/>
      <sheetName val="V-LEVEL_BAZEN"/>
      <sheetName val="11_PARKING_br_6_1"/>
      <sheetName val="13_ENTRY_PIAZZA"/>
      <sheetName val="V_LEVEL_ZONA"/>
      <sheetName val="proračun gubitaka"/>
      <sheetName val="16__Prometnice13"/>
      <sheetName val="17__Ograda7"/>
      <sheetName val="18__Krajobraz7"/>
      <sheetName val="16__Prometnice14"/>
      <sheetName val="razni_1"/>
      <sheetName val="oprema_dvor_1"/>
      <sheetName val="offen_LIDL-Troskovnik-16-17-181"/>
      <sheetName val="V-LEVEL_KRILO1"/>
      <sheetName val="V-LEVEL_BAZEN1"/>
      <sheetName val="11_PARKING_br_6_11"/>
      <sheetName val="13_ENTRY_PIAZZA1"/>
      <sheetName val="V_LEVEL_ZONA1"/>
      <sheetName val="proračun_gubitaka"/>
      <sheetName val="f.bazenska tehnika"/>
      <sheetName val="koeficijenti"/>
      <sheetName val="Faktori"/>
      <sheetName val="Hotel kolicine"/>
      <sheetName val="ab"/>
      <sheetName val="zidarski"/>
      <sheetName val="16__Prometnice19"/>
      <sheetName val="17__Ograda10"/>
      <sheetName val="18__Krajobraz10"/>
      <sheetName val="16__Prometnice20"/>
      <sheetName val="razni_4"/>
      <sheetName val="oprema_dvor_4"/>
      <sheetName val="offen_LIDL-Troskovnik-16-17-184"/>
      <sheetName val="V-LEVEL_KRILO4"/>
      <sheetName val="V-LEVEL_BAZEN4"/>
      <sheetName val="11_PARKING_br_6_14"/>
      <sheetName val="13_ENTRY_PIAZZA4"/>
      <sheetName val="V_LEVEL_ZONA4"/>
      <sheetName val="16__Prometnice15"/>
      <sheetName val="17__Ograda8"/>
      <sheetName val="18__Krajobraz8"/>
      <sheetName val="16__Prometnice16"/>
      <sheetName val="razni_2"/>
      <sheetName val="oprema_dvor_2"/>
      <sheetName val="offen_LIDL-Troskovnik-16-17-182"/>
      <sheetName val="V-LEVEL_KRILO2"/>
      <sheetName val="V-LEVEL_BAZEN2"/>
      <sheetName val="11_PARKING_br_6_12"/>
      <sheetName val="13_ENTRY_PIAZZA2"/>
      <sheetName val="V_LEVEL_ZONA2"/>
      <sheetName val="16__Prometnice17"/>
      <sheetName val="17__Ograda9"/>
      <sheetName val="18__Krajobraz9"/>
      <sheetName val="16__Prometnice18"/>
      <sheetName val="razni_3"/>
      <sheetName val="oprema_dvor_3"/>
      <sheetName val="offen_LIDL-Troskovnik-16-17-183"/>
      <sheetName val="V-LEVEL_KRILO3"/>
      <sheetName val="V-LEVEL_BAZEN3"/>
      <sheetName val="11_PARKING_br_6_13"/>
      <sheetName val="13_ENTRY_PIAZZA3"/>
      <sheetName val="V_LEVEL_ZONA3"/>
      <sheetName val="viiic.0.e"/>
    </sheetNames>
    <sheetDataSet>
      <sheetData sheetId="0" refreshError="1"/>
      <sheetData sheetId="1" refreshError="1">
        <row r="66">
          <cell r="G66">
            <v>81489.785000000003</v>
          </cell>
        </row>
        <row r="130">
          <cell r="G130" t="str">
            <v xml:space="preserve"> </v>
          </cell>
        </row>
        <row r="277">
          <cell r="G277" t="str">
            <v xml:space="preserve"> </v>
          </cell>
        </row>
        <row r="329">
          <cell r="G329" t="str">
            <v xml:space="preserve"> </v>
          </cell>
        </row>
      </sheetData>
      <sheetData sheetId="2" refreshError="1"/>
      <sheetData sheetId="3" refreshError="1"/>
      <sheetData sheetId="4">
        <row r="66">
          <cell r="G66">
            <v>81489.785000000003</v>
          </cell>
        </row>
      </sheetData>
      <sheetData sheetId="5">
        <row r="66">
          <cell r="G66">
            <v>81489.785000000003</v>
          </cell>
        </row>
      </sheetData>
      <sheetData sheetId="6"/>
      <sheetData sheetId="7"/>
      <sheetData sheetId="8">
        <row r="66">
          <cell r="G66">
            <v>81489.785000000003</v>
          </cell>
        </row>
      </sheetData>
      <sheetData sheetId="9" refreshError="1"/>
      <sheetData sheetId="10"/>
      <sheetData sheetId="11">
        <row r="66">
          <cell r="G66">
            <v>81489.785000000003</v>
          </cell>
        </row>
      </sheetData>
      <sheetData sheetId="12">
        <row r="66">
          <cell r="G66">
            <v>81489.785000000003</v>
          </cell>
        </row>
      </sheetData>
      <sheetData sheetId="13">
        <row r="66">
          <cell r="G66">
            <v>81489.785000000003</v>
          </cell>
        </row>
      </sheetData>
      <sheetData sheetId="14">
        <row r="66">
          <cell r="G66">
            <v>81489.785000000003</v>
          </cell>
        </row>
      </sheetData>
      <sheetData sheetId="15">
        <row r="66">
          <cell r="G66">
            <v>81489.785000000003</v>
          </cell>
        </row>
      </sheetData>
      <sheetData sheetId="16">
        <row r="66">
          <cell r="G66">
            <v>81489.785000000003</v>
          </cell>
        </row>
      </sheetData>
      <sheetData sheetId="17">
        <row r="66">
          <cell r="G66">
            <v>81489.785000000003</v>
          </cell>
        </row>
      </sheetData>
      <sheetData sheetId="18">
        <row r="66">
          <cell r="G66">
            <v>81489.785000000003</v>
          </cell>
        </row>
      </sheetData>
      <sheetData sheetId="19">
        <row r="66">
          <cell r="G66">
            <v>81489.785000000003</v>
          </cell>
        </row>
      </sheetData>
      <sheetData sheetId="20">
        <row r="66">
          <cell r="G66">
            <v>81489.785000000003</v>
          </cell>
        </row>
      </sheetData>
      <sheetData sheetId="21">
        <row r="66">
          <cell r="G66">
            <v>81489.785000000003</v>
          </cell>
        </row>
      </sheetData>
      <sheetData sheetId="22">
        <row r="66">
          <cell r="G66">
            <v>81489.785000000003</v>
          </cell>
        </row>
      </sheetData>
      <sheetData sheetId="23">
        <row r="66">
          <cell r="G66">
            <v>81489.785000000003</v>
          </cell>
        </row>
      </sheetData>
      <sheetData sheetId="24"/>
      <sheetData sheetId="25">
        <row r="66">
          <cell r="G66">
            <v>81489.785000000003</v>
          </cell>
        </row>
      </sheetData>
      <sheetData sheetId="26"/>
      <sheetData sheetId="27"/>
      <sheetData sheetId="28"/>
      <sheetData sheetId="29"/>
      <sheetData sheetId="30"/>
      <sheetData sheetId="31"/>
      <sheetData sheetId="32"/>
      <sheetData sheetId="33"/>
      <sheetData sheetId="34"/>
      <sheetData sheetId="35"/>
      <sheetData sheetId="36"/>
      <sheetData sheetId="37" refreshError="1"/>
      <sheetData sheetId="38">
        <row r="66">
          <cell r="G66">
            <v>81489.785000000003</v>
          </cell>
        </row>
      </sheetData>
      <sheetData sheetId="39"/>
      <sheetData sheetId="40">
        <row r="66">
          <cell r="G66">
            <v>81489.785000000003</v>
          </cell>
        </row>
      </sheetData>
      <sheetData sheetId="41">
        <row r="66">
          <cell r="G66">
            <v>81489.785000000003</v>
          </cell>
        </row>
      </sheetData>
      <sheetData sheetId="42">
        <row r="66">
          <cell r="G66">
            <v>81489.785000000003</v>
          </cell>
        </row>
      </sheetData>
      <sheetData sheetId="43"/>
      <sheetData sheetId="44"/>
      <sheetData sheetId="45" refreshError="1"/>
      <sheetData sheetId="46">
        <row r="66">
          <cell r="G66">
            <v>81489.785000000003</v>
          </cell>
        </row>
      </sheetData>
      <sheetData sheetId="47">
        <row r="66">
          <cell r="G66">
            <v>81489.785000000003</v>
          </cell>
        </row>
      </sheetData>
      <sheetData sheetId="48">
        <row r="66">
          <cell r="G66">
            <v>81489.785000000003</v>
          </cell>
        </row>
      </sheetData>
      <sheetData sheetId="49">
        <row r="66">
          <cell r="G66">
            <v>81489.785000000003</v>
          </cell>
        </row>
      </sheetData>
      <sheetData sheetId="50">
        <row r="66">
          <cell r="G66">
            <v>81489.785000000003</v>
          </cell>
        </row>
      </sheetData>
      <sheetData sheetId="51">
        <row r="66">
          <cell r="G66">
            <v>81489.785000000003</v>
          </cell>
        </row>
      </sheetData>
      <sheetData sheetId="52">
        <row r="66">
          <cell r="G66">
            <v>81489.785000000003</v>
          </cell>
        </row>
      </sheetData>
      <sheetData sheetId="53"/>
      <sheetData sheetId="54"/>
      <sheetData sheetId="55"/>
      <sheetData sheetId="56"/>
      <sheetData sheetId="57"/>
      <sheetData sheetId="58" refreshError="1"/>
      <sheetData sheetId="59">
        <row r="66">
          <cell r="G66">
            <v>81489.785000000003</v>
          </cell>
        </row>
      </sheetData>
      <sheetData sheetId="60">
        <row r="66">
          <cell r="G66">
            <v>81489.785000000003</v>
          </cell>
        </row>
      </sheetData>
      <sheetData sheetId="61">
        <row r="66">
          <cell r="G66">
            <v>81489.785000000003</v>
          </cell>
        </row>
      </sheetData>
      <sheetData sheetId="62">
        <row r="66">
          <cell r="G66">
            <v>81489.785000000003</v>
          </cell>
        </row>
      </sheetData>
      <sheetData sheetId="63">
        <row r="66">
          <cell r="G66">
            <v>81489.785000000003</v>
          </cell>
        </row>
      </sheetData>
      <sheetData sheetId="64">
        <row r="66">
          <cell r="G66">
            <v>81489.785000000003</v>
          </cell>
        </row>
      </sheetData>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šiljka 4-95"/>
      <sheetName val="order4-95"/>
      <sheetName val="posiljka 3-95"/>
      <sheetName val="Order 3-95"/>
      <sheetName val="cjenik1995"/>
      <sheetName val="cjenik1994"/>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54"/>
  <sheetViews>
    <sheetView tabSelected="1" zoomScaleNormal="100" zoomScaleSheetLayoutView="100" workbookViewId="0">
      <selection activeCell="B2" sqref="B2"/>
    </sheetView>
  </sheetViews>
  <sheetFormatPr defaultRowHeight="15"/>
  <cols>
    <col min="1" max="10" width="9.140625" style="6"/>
    <col min="11" max="11" width="10.85546875" style="6" customWidth="1"/>
    <col min="12" max="248" width="9.140625" style="6"/>
    <col min="249" max="249" width="4.85546875" style="6" customWidth="1"/>
    <col min="250" max="250" width="33.85546875" style="6" customWidth="1"/>
    <col min="251" max="253" width="9.140625" style="6"/>
    <col min="254" max="254" width="14.42578125" style="6" customWidth="1"/>
    <col min="255" max="504" width="9.140625" style="6"/>
    <col min="505" max="505" width="4.85546875" style="6" customWidth="1"/>
    <col min="506" max="506" width="33.85546875" style="6" customWidth="1"/>
    <col min="507" max="509" width="9.140625" style="6"/>
    <col min="510" max="510" width="14.42578125" style="6" customWidth="1"/>
    <col min="511" max="760" width="9.140625" style="6"/>
    <col min="761" max="761" width="4.85546875" style="6" customWidth="1"/>
    <col min="762" max="762" width="33.85546875" style="6" customWidth="1"/>
    <col min="763" max="765" width="9.140625" style="6"/>
    <col min="766" max="766" width="14.42578125" style="6" customWidth="1"/>
    <col min="767" max="1016" width="9.140625" style="6"/>
    <col min="1017" max="1017" width="4.85546875" style="6" customWidth="1"/>
    <col min="1018" max="1018" width="33.85546875" style="6" customWidth="1"/>
    <col min="1019" max="1021" width="9.140625" style="6"/>
    <col min="1022" max="1022" width="14.42578125" style="6" customWidth="1"/>
    <col min="1023" max="1272" width="9.140625" style="6"/>
    <col min="1273" max="1273" width="4.85546875" style="6" customWidth="1"/>
    <col min="1274" max="1274" width="33.85546875" style="6" customWidth="1"/>
    <col min="1275" max="1277" width="9.140625" style="6"/>
    <col min="1278" max="1278" width="14.42578125" style="6" customWidth="1"/>
    <col min="1279" max="1528" width="9.140625" style="6"/>
    <col min="1529" max="1529" width="4.85546875" style="6" customWidth="1"/>
    <col min="1530" max="1530" width="33.85546875" style="6" customWidth="1"/>
    <col min="1531" max="1533" width="9.140625" style="6"/>
    <col min="1534" max="1534" width="14.42578125" style="6" customWidth="1"/>
    <col min="1535" max="1784" width="9.140625" style="6"/>
    <col min="1785" max="1785" width="4.85546875" style="6" customWidth="1"/>
    <col min="1786" max="1786" width="33.85546875" style="6" customWidth="1"/>
    <col min="1787" max="1789" width="9.140625" style="6"/>
    <col min="1790" max="1790" width="14.42578125" style="6" customWidth="1"/>
    <col min="1791" max="2040" width="9.140625" style="6"/>
    <col min="2041" max="2041" width="4.85546875" style="6" customWidth="1"/>
    <col min="2042" max="2042" width="33.85546875" style="6" customWidth="1"/>
    <col min="2043" max="2045" width="9.140625" style="6"/>
    <col min="2046" max="2046" width="14.42578125" style="6" customWidth="1"/>
    <col min="2047" max="2296" width="9.140625" style="6"/>
    <col min="2297" max="2297" width="4.85546875" style="6" customWidth="1"/>
    <col min="2298" max="2298" width="33.85546875" style="6" customWidth="1"/>
    <col min="2299" max="2301" width="9.140625" style="6"/>
    <col min="2302" max="2302" width="14.42578125" style="6" customWidth="1"/>
    <col min="2303" max="2552" width="9.140625" style="6"/>
    <col min="2553" max="2553" width="4.85546875" style="6" customWidth="1"/>
    <col min="2554" max="2554" width="33.85546875" style="6" customWidth="1"/>
    <col min="2555" max="2557" width="9.140625" style="6"/>
    <col min="2558" max="2558" width="14.42578125" style="6" customWidth="1"/>
    <col min="2559" max="2808" width="9.140625" style="6"/>
    <col min="2809" max="2809" width="4.85546875" style="6" customWidth="1"/>
    <col min="2810" max="2810" width="33.85546875" style="6" customWidth="1"/>
    <col min="2811" max="2813" width="9.140625" style="6"/>
    <col min="2814" max="2814" width="14.42578125" style="6" customWidth="1"/>
    <col min="2815" max="3064" width="9.140625" style="6"/>
    <col min="3065" max="3065" width="4.85546875" style="6" customWidth="1"/>
    <col min="3066" max="3066" width="33.85546875" style="6" customWidth="1"/>
    <col min="3067" max="3069" width="9.140625" style="6"/>
    <col min="3070" max="3070" width="14.42578125" style="6" customWidth="1"/>
    <col min="3071" max="3320" width="9.140625" style="6"/>
    <col min="3321" max="3321" width="4.85546875" style="6" customWidth="1"/>
    <col min="3322" max="3322" width="33.85546875" style="6" customWidth="1"/>
    <col min="3323" max="3325" width="9.140625" style="6"/>
    <col min="3326" max="3326" width="14.42578125" style="6" customWidth="1"/>
    <col min="3327" max="3576" width="9.140625" style="6"/>
    <col min="3577" max="3577" width="4.85546875" style="6" customWidth="1"/>
    <col min="3578" max="3578" width="33.85546875" style="6" customWidth="1"/>
    <col min="3579" max="3581" width="9.140625" style="6"/>
    <col min="3582" max="3582" width="14.42578125" style="6" customWidth="1"/>
    <col min="3583" max="3832" width="9.140625" style="6"/>
    <col min="3833" max="3833" width="4.85546875" style="6" customWidth="1"/>
    <col min="3834" max="3834" width="33.85546875" style="6" customWidth="1"/>
    <col min="3835" max="3837" width="9.140625" style="6"/>
    <col min="3838" max="3838" width="14.42578125" style="6" customWidth="1"/>
    <col min="3839" max="4088" width="9.140625" style="6"/>
    <col min="4089" max="4089" width="4.85546875" style="6" customWidth="1"/>
    <col min="4090" max="4090" width="33.85546875" style="6" customWidth="1"/>
    <col min="4091" max="4093" width="9.140625" style="6"/>
    <col min="4094" max="4094" width="14.42578125" style="6" customWidth="1"/>
    <col min="4095" max="4344" width="9.140625" style="6"/>
    <col min="4345" max="4345" width="4.85546875" style="6" customWidth="1"/>
    <col min="4346" max="4346" width="33.85546875" style="6" customWidth="1"/>
    <col min="4347" max="4349" width="9.140625" style="6"/>
    <col min="4350" max="4350" width="14.42578125" style="6" customWidth="1"/>
    <col min="4351" max="4600" width="9.140625" style="6"/>
    <col min="4601" max="4601" width="4.85546875" style="6" customWidth="1"/>
    <col min="4602" max="4602" width="33.85546875" style="6" customWidth="1"/>
    <col min="4603" max="4605" width="9.140625" style="6"/>
    <col min="4606" max="4606" width="14.42578125" style="6" customWidth="1"/>
    <col min="4607" max="4856" width="9.140625" style="6"/>
    <col min="4857" max="4857" width="4.85546875" style="6" customWidth="1"/>
    <col min="4858" max="4858" width="33.85546875" style="6" customWidth="1"/>
    <col min="4859" max="4861" width="9.140625" style="6"/>
    <col min="4862" max="4862" width="14.42578125" style="6" customWidth="1"/>
    <col min="4863" max="5112" width="9.140625" style="6"/>
    <col min="5113" max="5113" width="4.85546875" style="6" customWidth="1"/>
    <col min="5114" max="5114" width="33.85546875" style="6" customWidth="1"/>
    <col min="5115" max="5117" width="9.140625" style="6"/>
    <col min="5118" max="5118" width="14.42578125" style="6" customWidth="1"/>
    <col min="5119" max="5368" width="9.140625" style="6"/>
    <col min="5369" max="5369" width="4.85546875" style="6" customWidth="1"/>
    <col min="5370" max="5370" width="33.85546875" style="6" customWidth="1"/>
    <col min="5371" max="5373" width="9.140625" style="6"/>
    <col min="5374" max="5374" width="14.42578125" style="6" customWidth="1"/>
    <col min="5375" max="5624" width="9.140625" style="6"/>
    <col min="5625" max="5625" width="4.85546875" style="6" customWidth="1"/>
    <col min="5626" max="5626" width="33.85546875" style="6" customWidth="1"/>
    <col min="5627" max="5629" width="9.140625" style="6"/>
    <col min="5630" max="5630" width="14.42578125" style="6" customWidth="1"/>
    <col min="5631" max="5880" width="9.140625" style="6"/>
    <col min="5881" max="5881" width="4.85546875" style="6" customWidth="1"/>
    <col min="5882" max="5882" width="33.85546875" style="6" customWidth="1"/>
    <col min="5883" max="5885" width="9.140625" style="6"/>
    <col min="5886" max="5886" width="14.42578125" style="6" customWidth="1"/>
    <col min="5887" max="6136" width="9.140625" style="6"/>
    <col min="6137" max="6137" width="4.85546875" style="6" customWidth="1"/>
    <col min="6138" max="6138" width="33.85546875" style="6" customWidth="1"/>
    <col min="6139" max="6141" width="9.140625" style="6"/>
    <col min="6142" max="6142" width="14.42578125" style="6" customWidth="1"/>
    <col min="6143" max="6392" width="9.140625" style="6"/>
    <col min="6393" max="6393" width="4.85546875" style="6" customWidth="1"/>
    <col min="6394" max="6394" width="33.85546875" style="6" customWidth="1"/>
    <col min="6395" max="6397" width="9.140625" style="6"/>
    <col min="6398" max="6398" width="14.42578125" style="6" customWidth="1"/>
    <col min="6399" max="6648" width="9.140625" style="6"/>
    <col min="6649" max="6649" width="4.85546875" style="6" customWidth="1"/>
    <col min="6650" max="6650" width="33.85546875" style="6" customWidth="1"/>
    <col min="6651" max="6653" width="9.140625" style="6"/>
    <col min="6654" max="6654" width="14.42578125" style="6" customWidth="1"/>
    <col min="6655" max="6904" width="9.140625" style="6"/>
    <col min="6905" max="6905" width="4.85546875" style="6" customWidth="1"/>
    <col min="6906" max="6906" width="33.85546875" style="6" customWidth="1"/>
    <col min="6907" max="6909" width="9.140625" style="6"/>
    <col min="6910" max="6910" width="14.42578125" style="6" customWidth="1"/>
    <col min="6911" max="7160" width="9.140625" style="6"/>
    <col min="7161" max="7161" width="4.85546875" style="6" customWidth="1"/>
    <col min="7162" max="7162" width="33.85546875" style="6" customWidth="1"/>
    <col min="7163" max="7165" width="9.140625" style="6"/>
    <col min="7166" max="7166" width="14.42578125" style="6" customWidth="1"/>
    <col min="7167" max="7416" width="9.140625" style="6"/>
    <col min="7417" max="7417" width="4.85546875" style="6" customWidth="1"/>
    <col min="7418" max="7418" width="33.85546875" style="6" customWidth="1"/>
    <col min="7419" max="7421" width="9.140625" style="6"/>
    <col min="7422" max="7422" width="14.42578125" style="6" customWidth="1"/>
    <col min="7423" max="7672" width="9.140625" style="6"/>
    <col min="7673" max="7673" width="4.85546875" style="6" customWidth="1"/>
    <col min="7674" max="7674" width="33.85546875" style="6" customWidth="1"/>
    <col min="7675" max="7677" width="9.140625" style="6"/>
    <col min="7678" max="7678" width="14.42578125" style="6" customWidth="1"/>
    <col min="7679" max="7928" width="9.140625" style="6"/>
    <col min="7929" max="7929" width="4.85546875" style="6" customWidth="1"/>
    <col min="7930" max="7930" width="33.85546875" style="6" customWidth="1"/>
    <col min="7931" max="7933" width="9.140625" style="6"/>
    <col min="7934" max="7934" width="14.42578125" style="6" customWidth="1"/>
    <col min="7935" max="8184" width="9.140625" style="6"/>
    <col min="8185" max="8185" width="4.85546875" style="6" customWidth="1"/>
    <col min="8186" max="8186" width="33.85546875" style="6" customWidth="1"/>
    <col min="8187" max="8189" width="9.140625" style="6"/>
    <col min="8190" max="8190" width="14.42578125" style="6" customWidth="1"/>
    <col min="8191" max="8440" width="9.140625" style="6"/>
    <col min="8441" max="8441" width="4.85546875" style="6" customWidth="1"/>
    <col min="8442" max="8442" width="33.85546875" style="6" customWidth="1"/>
    <col min="8443" max="8445" width="9.140625" style="6"/>
    <col min="8446" max="8446" width="14.42578125" style="6" customWidth="1"/>
    <col min="8447" max="8696" width="9.140625" style="6"/>
    <col min="8697" max="8697" width="4.85546875" style="6" customWidth="1"/>
    <col min="8698" max="8698" width="33.85546875" style="6" customWidth="1"/>
    <col min="8699" max="8701" width="9.140625" style="6"/>
    <col min="8702" max="8702" width="14.42578125" style="6" customWidth="1"/>
    <col min="8703" max="8952" width="9.140625" style="6"/>
    <col min="8953" max="8953" width="4.85546875" style="6" customWidth="1"/>
    <col min="8954" max="8954" width="33.85546875" style="6" customWidth="1"/>
    <col min="8955" max="8957" width="9.140625" style="6"/>
    <col min="8958" max="8958" width="14.42578125" style="6" customWidth="1"/>
    <col min="8959" max="9208" width="9.140625" style="6"/>
    <col min="9209" max="9209" width="4.85546875" style="6" customWidth="1"/>
    <col min="9210" max="9210" width="33.85546875" style="6" customWidth="1"/>
    <col min="9211" max="9213" width="9.140625" style="6"/>
    <col min="9214" max="9214" width="14.42578125" style="6" customWidth="1"/>
    <col min="9215" max="9464" width="9.140625" style="6"/>
    <col min="9465" max="9465" width="4.85546875" style="6" customWidth="1"/>
    <col min="9466" max="9466" width="33.85546875" style="6" customWidth="1"/>
    <col min="9467" max="9469" width="9.140625" style="6"/>
    <col min="9470" max="9470" width="14.42578125" style="6" customWidth="1"/>
    <col min="9471" max="9720" width="9.140625" style="6"/>
    <col min="9721" max="9721" width="4.85546875" style="6" customWidth="1"/>
    <col min="9722" max="9722" width="33.85546875" style="6" customWidth="1"/>
    <col min="9723" max="9725" width="9.140625" style="6"/>
    <col min="9726" max="9726" width="14.42578125" style="6" customWidth="1"/>
    <col min="9727" max="9976" width="9.140625" style="6"/>
    <col min="9977" max="9977" width="4.85546875" style="6" customWidth="1"/>
    <col min="9978" max="9978" width="33.85546875" style="6" customWidth="1"/>
    <col min="9979" max="9981" width="9.140625" style="6"/>
    <col min="9982" max="9982" width="14.42578125" style="6" customWidth="1"/>
    <col min="9983" max="10232" width="9.140625" style="6"/>
    <col min="10233" max="10233" width="4.85546875" style="6" customWidth="1"/>
    <col min="10234" max="10234" width="33.85546875" style="6" customWidth="1"/>
    <col min="10235" max="10237" width="9.140625" style="6"/>
    <col min="10238" max="10238" width="14.42578125" style="6" customWidth="1"/>
    <col min="10239" max="10488" width="9.140625" style="6"/>
    <col min="10489" max="10489" width="4.85546875" style="6" customWidth="1"/>
    <col min="10490" max="10490" width="33.85546875" style="6" customWidth="1"/>
    <col min="10491" max="10493" width="9.140625" style="6"/>
    <col min="10494" max="10494" width="14.42578125" style="6" customWidth="1"/>
    <col min="10495" max="10744" width="9.140625" style="6"/>
    <col min="10745" max="10745" width="4.85546875" style="6" customWidth="1"/>
    <col min="10746" max="10746" width="33.85546875" style="6" customWidth="1"/>
    <col min="10747" max="10749" width="9.140625" style="6"/>
    <col min="10750" max="10750" width="14.42578125" style="6" customWidth="1"/>
    <col min="10751" max="11000" width="9.140625" style="6"/>
    <col min="11001" max="11001" width="4.85546875" style="6" customWidth="1"/>
    <col min="11002" max="11002" width="33.85546875" style="6" customWidth="1"/>
    <col min="11003" max="11005" width="9.140625" style="6"/>
    <col min="11006" max="11006" width="14.42578125" style="6" customWidth="1"/>
    <col min="11007" max="11256" width="9.140625" style="6"/>
    <col min="11257" max="11257" width="4.85546875" style="6" customWidth="1"/>
    <col min="11258" max="11258" width="33.85546875" style="6" customWidth="1"/>
    <col min="11259" max="11261" width="9.140625" style="6"/>
    <col min="11262" max="11262" width="14.42578125" style="6" customWidth="1"/>
    <col min="11263" max="11512" width="9.140625" style="6"/>
    <col min="11513" max="11513" width="4.85546875" style="6" customWidth="1"/>
    <col min="11514" max="11514" width="33.85546875" style="6" customWidth="1"/>
    <col min="11515" max="11517" width="9.140625" style="6"/>
    <col min="11518" max="11518" width="14.42578125" style="6" customWidth="1"/>
    <col min="11519" max="11768" width="9.140625" style="6"/>
    <col min="11769" max="11769" width="4.85546875" style="6" customWidth="1"/>
    <col min="11770" max="11770" width="33.85546875" style="6" customWidth="1"/>
    <col min="11771" max="11773" width="9.140625" style="6"/>
    <col min="11774" max="11774" width="14.42578125" style="6" customWidth="1"/>
    <col min="11775" max="12024" width="9.140625" style="6"/>
    <col min="12025" max="12025" width="4.85546875" style="6" customWidth="1"/>
    <col min="12026" max="12026" width="33.85546875" style="6" customWidth="1"/>
    <col min="12027" max="12029" width="9.140625" style="6"/>
    <col min="12030" max="12030" width="14.42578125" style="6" customWidth="1"/>
    <col min="12031" max="12280" width="9.140625" style="6"/>
    <col min="12281" max="12281" width="4.85546875" style="6" customWidth="1"/>
    <col min="12282" max="12282" width="33.85546875" style="6" customWidth="1"/>
    <col min="12283" max="12285" width="9.140625" style="6"/>
    <col min="12286" max="12286" width="14.42578125" style="6" customWidth="1"/>
    <col min="12287" max="12536" width="9.140625" style="6"/>
    <col min="12537" max="12537" width="4.85546875" style="6" customWidth="1"/>
    <col min="12538" max="12538" width="33.85546875" style="6" customWidth="1"/>
    <col min="12539" max="12541" width="9.140625" style="6"/>
    <col min="12542" max="12542" width="14.42578125" style="6" customWidth="1"/>
    <col min="12543" max="12792" width="9.140625" style="6"/>
    <col min="12793" max="12793" width="4.85546875" style="6" customWidth="1"/>
    <col min="12794" max="12794" width="33.85546875" style="6" customWidth="1"/>
    <col min="12795" max="12797" width="9.140625" style="6"/>
    <col min="12798" max="12798" width="14.42578125" style="6" customWidth="1"/>
    <col min="12799" max="13048" width="9.140625" style="6"/>
    <col min="13049" max="13049" width="4.85546875" style="6" customWidth="1"/>
    <col min="13050" max="13050" width="33.85546875" style="6" customWidth="1"/>
    <col min="13051" max="13053" width="9.140625" style="6"/>
    <col min="13054" max="13054" width="14.42578125" style="6" customWidth="1"/>
    <col min="13055" max="13304" width="9.140625" style="6"/>
    <col min="13305" max="13305" width="4.85546875" style="6" customWidth="1"/>
    <col min="13306" max="13306" width="33.85546875" style="6" customWidth="1"/>
    <col min="13307" max="13309" width="9.140625" style="6"/>
    <col min="13310" max="13310" width="14.42578125" style="6" customWidth="1"/>
    <col min="13311" max="13560" width="9.140625" style="6"/>
    <col min="13561" max="13561" width="4.85546875" style="6" customWidth="1"/>
    <col min="13562" max="13562" width="33.85546875" style="6" customWidth="1"/>
    <col min="13563" max="13565" width="9.140625" style="6"/>
    <col min="13566" max="13566" width="14.42578125" style="6" customWidth="1"/>
    <col min="13567" max="13816" width="9.140625" style="6"/>
    <col min="13817" max="13817" width="4.85546875" style="6" customWidth="1"/>
    <col min="13818" max="13818" width="33.85546875" style="6" customWidth="1"/>
    <col min="13819" max="13821" width="9.140625" style="6"/>
    <col min="13822" max="13822" width="14.42578125" style="6" customWidth="1"/>
    <col min="13823" max="14072" width="9.140625" style="6"/>
    <col min="14073" max="14073" width="4.85546875" style="6" customWidth="1"/>
    <col min="14074" max="14074" width="33.85546875" style="6" customWidth="1"/>
    <col min="14075" max="14077" width="9.140625" style="6"/>
    <col min="14078" max="14078" width="14.42578125" style="6" customWidth="1"/>
    <col min="14079" max="14328" width="9.140625" style="6"/>
    <col min="14329" max="14329" width="4.85546875" style="6" customWidth="1"/>
    <col min="14330" max="14330" width="33.85546875" style="6" customWidth="1"/>
    <col min="14331" max="14333" width="9.140625" style="6"/>
    <col min="14334" max="14334" width="14.42578125" style="6" customWidth="1"/>
    <col min="14335" max="14584" width="9.140625" style="6"/>
    <col min="14585" max="14585" width="4.85546875" style="6" customWidth="1"/>
    <col min="14586" max="14586" width="33.85546875" style="6" customWidth="1"/>
    <col min="14587" max="14589" width="9.140625" style="6"/>
    <col min="14590" max="14590" width="14.42578125" style="6" customWidth="1"/>
    <col min="14591" max="14840" width="9.140625" style="6"/>
    <col min="14841" max="14841" width="4.85546875" style="6" customWidth="1"/>
    <col min="14842" max="14842" width="33.85546875" style="6" customWidth="1"/>
    <col min="14843" max="14845" width="9.140625" style="6"/>
    <col min="14846" max="14846" width="14.42578125" style="6" customWidth="1"/>
    <col min="14847" max="15096" width="9.140625" style="6"/>
    <col min="15097" max="15097" width="4.85546875" style="6" customWidth="1"/>
    <col min="15098" max="15098" width="33.85546875" style="6" customWidth="1"/>
    <col min="15099" max="15101" width="9.140625" style="6"/>
    <col min="15102" max="15102" width="14.42578125" style="6" customWidth="1"/>
    <col min="15103" max="15352" width="9.140625" style="6"/>
    <col min="15353" max="15353" width="4.85546875" style="6" customWidth="1"/>
    <col min="15354" max="15354" width="33.85546875" style="6" customWidth="1"/>
    <col min="15355" max="15357" width="9.140625" style="6"/>
    <col min="15358" max="15358" width="14.42578125" style="6" customWidth="1"/>
    <col min="15359" max="15608" width="9.140625" style="6"/>
    <col min="15609" max="15609" width="4.85546875" style="6" customWidth="1"/>
    <col min="15610" max="15610" width="33.85546875" style="6" customWidth="1"/>
    <col min="15611" max="15613" width="9.140625" style="6"/>
    <col min="15614" max="15614" width="14.42578125" style="6" customWidth="1"/>
    <col min="15615" max="15864" width="9.140625" style="6"/>
    <col min="15865" max="15865" width="4.85546875" style="6" customWidth="1"/>
    <col min="15866" max="15866" width="33.85546875" style="6" customWidth="1"/>
    <col min="15867" max="15869" width="9.140625" style="6"/>
    <col min="15870" max="15870" width="14.42578125" style="6" customWidth="1"/>
    <col min="15871" max="16120" width="9.140625" style="6"/>
    <col min="16121" max="16121" width="4.85546875" style="6" customWidth="1"/>
    <col min="16122" max="16122" width="33.85546875" style="6" customWidth="1"/>
    <col min="16123" max="16125" width="9.140625" style="6"/>
    <col min="16126" max="16126" width="14.42578125" style="6" customWidth="1"/>
    <col min="16127" max="16384" width="9.140625" style="6"/>
  </cols>
  <sheetData>
    <row r="2" spans="2:2" s="2" customFormat="1" ht="15.75">
      <c r="B2" s="1" t="s">
        <v>7</v>
      </c>
    </row>
    <row r="3" spans="2:2" s="4" customFormat="1" ht="15.75">
      <c r="B3" s="3" t="s">
        <v>248</v>
      </c>
    </row>
    <row r="4" spans="2:2" s="2" customFormat="1" ht="15.75">
      <c r="B4" s="1" t="s">
        <v>249</v>
      </c>
    </row>
    <row r="5" spans="2:2" s="2" customFormat="1" ht="15.75">
      <c r="B5" s="1" t="s">
        <v>240</v>
      </c>
    </row>
    <row r="6" spans="2:2" s="2" customFormat="1" ht="15.75">
      <c r="B6" s="1" t="s">
        <v>250</v>
      </c>
    </row>
    <row r="7" spans="2:2" s="2" customFormat="1" ht="15.75">
      <c r="B7" s="1"/>
    </row>
    <row r="8" spans="2:2" s="2" customFormat="1" ht="15.75">
      <c r="B8" s="1" t="s">
        <v>6</v>
      </c>
    </row>
    <row r="9" spans="2:2" s="2" customFormat="1" ht="15.75">
      <c r="B9" s="1" t="s">
        <v>251</v>
      </c>
    </row>
    <row r="10" spans="2:2" s="2" customFormat="1">
      <c r="B10" s="2" t="s">
        <v>252</v>
      </c>
    </row>
    <row r="11" spans="2:2" s="2" customFormat="1">
      <c r="B11" s="2" t="s">
        <v>5501</v>
      </c>
    </row>
    <row r="12" spans="2:2" s="2" customFormat="1"/>
    <row r="13" spans="2:2" s="2" customFormat="1" ht="18.75">
      <c r="B13" s="5" t="s">
        <v>241</v>
      </c>
    </row>
    <row r="14" spans="2:2" s="2" customFormat="1" ht="18.75">
      <c r="B14" s="5"/>
    </row>
    <row r="15" spans="2:2" s="4" customFormat="1"/>
    <row r="16" spans="2:2" s="2" customFormat="1" ht="15.75">
      <c r="B16" s="1" t="s">
        <v>5</v>
      </c>
    </row>
    <row r="17" spans="2:2" s="2" customFormat="1" ht="15.75">
      <c r="B17" s="1" t="s">
        <v>253</v>
      </c>
    </row>
    <row r="18" spans="2:2" s="2" customFormat="1" ht="15.75">
      <c r="B18" s="1" t="s">
        <v>4589</v>
      </c>
    </row>
    <row r="19" spans="2:2" s="2" customFormat="1" ht="15.75">
      <c r="B19" s="1" t="s">
        <v>4590</v>
      </c>
    </row>
    <row r="20" spans="2:2" s="2" customFormat="1" ht="15.75">
      <c r="B20" s="1" t="s">
        <v>4591</v>
      </c>
    </row>
    <row r="21" spans="2:2" s="2" customFormat="1" ht="15.75">
      <c r="B21" s="1" t="s">
        <v>4592</v>
      </c>
    </row>
    <row r="22" spans="2:2" s="2" customFormat="1" ht="15.75">
      <c r="B22" s="1" t="s">
        <v>4593</v>
      </c>
    </row>
    <row r="23" spans="2:2" s="2" customFormat="1" ht="15.75">
      <c r="B23" s="1" t="s">
        <v>4594</v>
      </c>
    </row>
    <row r="24" spans="2:2" s="2" customFormat="1" ht="15.75">
      <c r="B24" s="1" t="s">
        <v>4595</v>
      </c>
    </row>
    <row r="25" spans="2:2" s="2" customFormat="1" ht="15.75">
      <c r="B25" s="1" t="s">
        <v>4596</v>
      </c>
    </row>
    <row r="26" spans="2:2" s="2" customFormat="1" ht="15.75">
      <c r="B26" s="1" t="s">
        <v>4597</v>
      </c>
    </row>
    <row r="27" spans="2:2" s="2" customFormat="1" ht="15.75">
      <c r="B27" s="1" t="s">
        <v>4598</v>
      </c>
    </row>
    <row r="28" spans="2:2" s="2" customFormat="1">
      <c r="B28" s="2" t="s">
        <v>4599</v>
      </c>
    </row>
    <row r="29" spans="2:2" s="2" customFormat="1">
      <c r="B29" s="2" t="s">
        <v>4600</v>
      </c>
    </row>
    <row r="30" spans="2:2" s="2" customFormat="1">
      <c r="B30" s="2" t="s">
        <v>4601</v>
      </c>
    </row>
    <row r="31" spans="2:2" s="2" customFormat="1">
      <c r="B31" s="2" t="s">
        <v>4602</v>
      </c>
    </row>
    <row r="32" spans="2:2" s="2" customFormat="1">
      <c r="B32" s="2" t="s">
        <v>5499</v>
      </c>
    </row>
    <row r="33" spans="2:2" s="2" customFormat="1">
      <c r="B33" s="2" t="s">
        <v>4603</v>
      </c>
    </row>
    <row r="34" spans="2:2" s="2" customFormat="1">
      <c r="B34" s="2" t="s">
        <v>4604</v>
      </c>
    </row>
    <row r="35" spans="2:2" s="2" customFormat="1"/>
    <row r="36" spans="2:2" s="2" customFormat="1"/>
    <row r="37" spans="2:2" s="2" customFormat="1"/>
    <row r="38" spans="2:2" s="2" customFormat="1" ht="15.75">
      <c r="B38" s="1" t="s">
        <v>4</v>
      </c>
    </row>
    <row r="39" spans="2:2" s="2" customFormat="1" ht="15.75">
      <c r="B39" s="1" t="s">
        <v>3</v>
      </c>
    </row>
    <row r="40" spans="2:2" s="2" customFormat="1" ht="15.75">
      <c r="B40" s="1" t="s">
        <v>195</v>
      </c>
    </row>
    <row r="41" spans="2:2" s="2" customFormat="1" ht="15.75">
      <c r="B41" s="1" t="s">
        <v>2</v>
      </c>
    </row>
    <row r="42" spans="2:2" s="2" customFormat="1" ht="15.75" hidden="1">
      <c r="B42" s="1"/>
    </row>
    <row r="43" spans="2:2" s="2" customFormat="1" ht="15.75">
      <c r="B43" s="1" t="s">
        <v>1</v>
      </c>
    </row>
    <row r="44" spans="2:2" s="2" customFormat="1" ht="15.75">
      <c r="B44" s="1" t="s">
        <v>0</v>
      </c>
    </row>
    <row r="45" spans="2:2" s="2" customFormat="1" ht="15.75">
      <c r="B45" s="1"/>
    </row>
    <row r="54" spans="7:7" ht="15.75">
      <c r="G54" s="1" t="s">
        <v>5500</v>
      </c>
    </row>
  </sheetData>
  <sheetProtection password="C891" sheet="1" objects="1" scenarios="1"/>
  <pageMargins left="0.70866141732283472" right="0.70866141732283472" top="0.74803149606299213" bottom="0.74803149606299213"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N111"/>
  <sheetViews>
    <sheetView showGridLines="0" showZeros="0" view="pageLayout" topLeftCell="A22" zoomScaleNormal="100" zoomScaleSheetLayoutView="115" workbookViewId="0">
      <selection activeCell="D27" sqref="D27:D28"/>
    </sheetView>
  </sheetViews>
  <sheetFormatPr defaultRowHeight="15"/>
  <cols>
    <col min="1" max="1" width="7.7109375" style="78" customWidth="1"/>
    <col min="2" max="2" width="50.7109375" style="78" customWidth="1"/>
    <col min="3" max="3" width="9" style="78" customWidth="1"/>
    <col min="4" max="4" width="8.7109375" style="78" customWidth="1"/>
    <col min="5" max="5" width="7.85546875" style="78" customWidth="1"/>
    <col min="6" max="6" width="10.7109375" style="142" customWidth="1"/>
    <col min="7" max="256" width="9.140625" style="78"/>
    <col min="257" max="257" width="7.7109375" style="78" customWidth="1"/>
    <col min="258" max="258" width="50.7109375" style="78" customWidth="1"/>
    <col min="259" max="259" width="9" style="78" customWidth="1"/>
    <col min="260" max="260" width="8.7109375" style="78" customWidth="1"/>
    <col min="261" max="261" width="7.85546875" style="78" customWidth="1"/>
    <col min="262" max="262" width="10.7109375" style="78" customWidth="1"/>
    <col min="263" max="512" width="9.140625" style="78"/>
    <col min="513" max="513" width="7.7109375" style="78" customWidth="1"/>
    <col min="514" max="514" width="50.7109375" style="78" customWidth="1"/>
    <col min="515" max="515" width="9" style="78" customWidth="1"/>
    <col min="516" max="516" width="8.7109375" style="78" customWidth="1"/>
    <col min="517" max="517" width="7.85546875" style="78" customWidth="1"/>
    <col min="518" max="518" width="10.7109375" style="78" customWidth="1"/>
    <col min="519" max="768" width="9.140625" style="78"/>
    <col min="769" max="769" width="7.7109375" style="78" customWidth="1"/>
    <col min="770" max="770" width="50.7109375" style="78" customWidth="1"/>
    <col min="771" max="771" width="9" style="78" customWidth="1"/>
    <col min="772" max="772" width="8.7109375" style="78" customWidth="1"/>
    <col min="773" max="773" width="7.85546875" style="78" customWidth="1"/>
    <col min="774" max="774" width="10.7109375" style="78" customWidth="1"/>
    <col min="775" max="1024" width="9.140625" style="78"/>
    <col min="1025" max="1025" width="7.7109375" style="78" customWidth="1"/>
    <col min="1026" max="1026" width="50.7109375" style="78" customWidth="1"/>
    <col min="1027" max="1027" width="9" style="78" customWidth="1"/>
    <col min="1028" max="1028" width="8.7109375" style="78" customWidth="1"/>
    <col min="1029" max="1029" width="7.85546875" style="78" customWidth="1"/>
    <col min="1030" max="1030" width="10.7109375" style="78" customWidth="1"/>
    <col min="1031" max="1280" width="9.140625" style="78"/>
    <col min="1281" max="1281" width="7.7109375" style="78" customWidth="1"/>
    <col min="1282" max="1282" width="50.7109375" style="78" customWidth="1"/>
    <col min="1283" max="1283" width="9" style="78" customWidth="1"/>
    <col min="1284" max="1284" width="8.7109375" style="78" customWidth="1"/>
    <col min="1285" max="1285" width="7.85546875" style="78" customWidth="1"/>
    <col min="1286" max="1286" width="10.7109375" style="78" customWidth="1"/>
    <col min="1287" max="1536" width="9.140625" style="78"/>
    <col min="1537" max="1537" width="7.7109375" style="78" customWidth="1"/>
    <col min="1538" max="1538" width="50.7109375" style="78" customWidth="1"/>
    <col min="1539" max="1539" width="9" style="78" customWidth="1"/>
    <col min="1540" max="1540" width="8.7109375" style="78" customWidth="1"/>
    <col min="1541" max="1541" width="7.85546875" style="78" customWidth="1"/>
    <col min="1542" max="1542" width="10.7109375" style="78" customWidth="1"/>
    <col min="1543" max="1792" width="9.140625" style="78"/>
    <col min="1793" max="1793" width="7.7109375" style="78" customWidth="1"/>
    <col min="1794" max="1794" width="50.7109375" style="78" customWidth="1"/>
    <col min="1795" max="1795" width="9" style="78" customWidth="1"/>
    <col min="1796" max="1796" width="8.7109375" style="78" customWidth="1"/>
    <col min="1797" max="1797" width="7.85546875" style="78" customWidth="1"/>
    <col min="1798" max="1798" width="10.7109375" style="78" customWidth="1"/>
    <col min="1799" max="2048" width="9.140625" style="78"/>
    <col min="2049" max="2049" width="7.7109375" style="78" customWidth="1"/>
    <col min="2050" max="2050" width="50.7109375" style="78" customWidth="1"/>
    <col min="2051" max="2051" width="9" style="78" customWidth="1"/>
    <col min="2052" max="2052" width="8.7109375" style="78" customWidth="1"/>
    <col min="2053" max="2053" width="7.85546875" style="78" customWidth="1"/>
    <col min="2054" max="2054" width="10.7109375" style="78" customWidth="1"/>
    <col min="2055" max="2304" width="9.140625" style="78"/>
    <col min="2305" max="2305" width="7.7109375" style="78" customWidth="1"/>
    <col min="2306" max="2306" width="50.7109375" style="78" customWidth="1"/>
    <col min="2307" max="2307" width="9" style="78" customWidth="1"/>
    <col min="2308" max="2308" width="8.7109375" style="78" customWidth="1"/>
    <col min="2309" max="2309" width="7.85546875" style="78" customWidth="1"/>
    <col min="2310" max="2310" width="10.7109375" style="78" customWidth="1"/>
    <col min="2311" max="2560" width="9.140625" style="78"/>
    <col min="2561" max="2561" width="7.7109375" style="78" customWidth="1"/>
    <col min="2562" max="2562" width="50.7109375" style="78" customWidth="1"/>
    <col min="2563" max="2563" width="9" style="78" customWidth="1"/>
    <col min="2564" max="2564" width="8.7109375" style="78" customWidth="1"/>
    <col min="2565" max="2565" width="7.85546875" style="78" customWidth="1"/>
    <col min="2566" max="2566" width="10.7109375" style="78" customWidth="1"/>
    <col min="2567" max="2816" width="9.140625" style="78"/>
    <col min="2817" max="2817" width="7.7109375" style="78" customWidth="1"/>
    <col min="2818" max="2818" width="50.7109375" style="78" customWidth="1"/>
    <col min="2819" max="2819" width="9" style="78" customWidth="1"/>
    <col min="2820" max="2820" width="8.7109375" style="78" customWidth="1"/>
    <col min="2821" max="2821" width="7.85546875" style="78" customWidth="1"/>
    <col min="2822" max="2822" width="10.7109375" style="78" customWidth="1"/>
    <col min="2823" max="3072" width="9.140625" style="78"/>
    <col min="3073" max="3073" width="7.7109375" style="78" customWidth="1"/>
    <col min="3074" max="3074" width="50.7109375" style="78" customWidth="1"/>
    <col min="3075" max="3075" width="9" style="78" customWidth="1"/>
    <col min="3076" max="3076" width="8.7109375" style="78" customWidth="1"/>
    <col min="3077" max="3077" width="7.85546875" style="78" customWidth="1"/>
    <col min="3078" max="3078" width="10.7109375" style="78" customWidth="1"/>
    <col min="3079" max="3328" width="9.140625" style="78"/>
    <col min="3329" max="3329" width="7.7109375" style="78" customWidth="1"/>
    <col min="3330" max="3330" width="50.7109375" style="78" customWidth="1"/>
    <col min="3331" max="3331" width="9" style="78" customWidth="1"/>
    <col min="3332" max="3332" width="8.7109375" style="78" customWidth="1"/>
    <col min="3333" max="3333" width="7.85546875" style="78" customWidth="1"/>
    <col min="3334" max="3334" width="10.7109375" style="78" customWidth="1"/>
    <col min="3335" max="3584" width="9.140625" style="78"/>
    <col min="3585" max="3585" width="7.7109375" style="78" customWidth="1"/>
    <col min="3586" max="3586" width="50.7109375" style="78" customWidth="1"/>
    <col min="3587" max="3587" width="9" style="78" customWidth="1"/>
    <col min="3588" max="3588" width="8.7109375" style="78" customWidth="1"/>
    <col min="3589" max="3589" width="7.85546875" style="78" customWidth="1"/>
    <col min="3590" max="3590" width="10.7109375" style="78" customWidth="1"/>
    <col min="3591" max="3840" width="9.140625" style="78"/>
    <col min="3841" max="3841" width="7.7109375" style="78" customWidth="1"/>
    <col min="3842" max="3842" width="50.7109375" style="78" customWidth="1"/>
    <col min="3843" max="3843" width="9" style="78" customWidth="1"/>
    <col min="3844" max="3844" width="8.7109375" style="78" customWidth="1"/>
    <col min="3845" max="3845" width="7.85546875" style="78" customWidth="1"/>
    <col min="3846" max="3846" width="10.7109375" style="78" customWidth="1"/>
    <col min="3847" max="4096" width="9.140625" style="78"/>
    <col min="4097" max="4097" width="7.7109375" style="78" customWidth="1"/>
    <col min="4098" max="4098" width="50.7109375" style="78" customWidth="1"/>
    <col min="4099" max="4099" width="9" style="78" customWidth="1"/>
    <col min="4100" max="4100" width="8.7109375" style="78" customWidth="1"/>
    <col min="4101" max="4101" width="7.85546875" style="78" customWidth="1"/>
    <col min="4102" max="4102" width="10.7109375" style="78" customWidth="1"/>
    <col min="4103" max="4352" width="9.140625" style="78"/>
    <col min="4353" max="4353" width="7.7109375" style="78" customWidth="1"/>
    <col min="4354" max="4354" width="50.7109375" style="78" customWidth="1"/>
    <col min="4355" max="4355" width="9" style="78" customWidth="1"/>
    <col min="4356" max="4356" width="8.7109375" style="78" customWidth="1"/>
    <col min="4357" max="4357" width="7.85546875" style="78" customWidth="1"/>
    <col min="4358" max="4358" width="10.7109375" style="78" customWidth="1"/>
    <col min="4359" max="4608" width="9.140625" style="78"/>
    <col min="4609" max="4609" width="7.7109375" style="78" customWidth="1"/>
    <col min="4610" max="4610" width="50.7109375" style="78" customWidth="1"/>
    <col min="4611" max="4611" width="9" style="78" customWidth="1"/>
    <col min="4612" max="4612" width="8.7109375" style="78" customWidth="1"/>
    <col min="4613" max="4613" width="7.85546875" style="78" customWidth="1"/>
    <col min="4614" max="4614" width="10.7109375" style="78" customWidth="1"/>
    <col min="4615" max="4864" width="9.140625" style="78"/>
    <col min="4865" max="4865" width="7.7109375" style="78" customWidth="1"/>
    <col min="4866" max="4866" width="50.7109375" style="78" customWidth="1"/>
    <col min="4867" max="4867" width="9" style="78" customWidth="1"/>
    <col min="4868" max="4868" width="8.7109375" style="78" customWidth="1"/>
    <col min="4869" max="4869" width="7.85546875" style="78" customWidth="1"/>
    <col min="4870" max="4870" width="10.7109375" style="78" customWidth="1"/>
    <col min="4871" max="5120" width="9.140625" style="78"/>
    <col min="5121" max="5121" width="7.7109375" style="78" customWidth="1"/>
    <col min="5122" max="5122" width="50.7109375" style="78" customWidth="1"/>
    <col min="5123" max="5123" width="9" style="78" customWidth="1"/>
    <col min="5124" max="5124" width="8.7109375" style="78" customWidth="1"/>
    <col min="5125" max="5125" width="7.85546875" style="78" customWidth="1"/>
    <col min="5126" max="5126" width="10.7109375" style="78" customWidth="1"/>
    <col min="5127" max="5376" width="9.140625" style="78"/>
    <col min="5377" max="5377" width="7.7109375" style="78" customWidth="1"/>
    <col min="5378" max="5378" width="50.7109375" style="78" customWidth="1"/>
    <col min="5379" max="5379" width="9" style="78" customWidth="1"/>
    <col min="5380" max="5380" width="8.7109375" style="78" customWidth="1"/>
    <col min="5381" max="5381" width="7.85546875" style="78" customWidth="1"/>
    <col min="5382" max="5382" width="10.7109375" style="78" customWidth="1"/>
    <col min="5383" max="5632" width="9.140625" style="78"/>
    <col min="5633" max="5633" width="7.7109375" style="78" customWidth="1"/>
    <col min="5634" max="5634" width="50.7109375" style="78" customWidth="1"/>
    <col min="5635" max="5635" width="9" style="78" customWidth="1"/>
    <col min="5636" max="5636" width="8.7109375" style="78" customWidth="1"/>
    <col min="5637" max="5637" width="7.85546875" style="78" customWidth="1"/>
    <col min="5638" max="5638" width="10.7109375" style="78" customWidth="1"/>
    <col min="5639" max="5888" width="9.140625" style="78"/>
    <col min="5889" max="5889" width="7.7109375" style="78" customWidth="1"/>
    <col min="5890" max="5890" width="50.7109375" style="78" customWidth="1"/>
    <col min="5891" max="5891" width="9" style="78" customWidth="1"/>
    <col min="5892" max="5892" width="8.7109375" style="78" customWidth="1"/>
    <col min="5893" max="5893" width="7.85546875" style="78" customWidth="1"/>
    <col min="5894" max="5894" width="10.7109375" style="78" customWidth="1"/>
    <col min="5895" max="6144" width="9.140625" style="78"/>
    <col min="6145" max="6145" width="7.7109375" style="78" customWidth="1"/>
    <col min="6146" max="6146" width="50.7109375" style="78" customWidth="1"/>
    <col min="6147" max="6147" width="9" style="78" customWidth="1"/>
    <col min="6148" max="6148" width="8.7109375" style="78" customWidth="1"/>
    <col min="6149" max="6149" width="7.85546875" style="78" customWidth="1"/>
    <col min="6150" max="6150" width="10.7109375" style="78" customWidth="1"/>
    <col min="6151" max="6400" width="9.140625" style="78"/>
    <col min="6401" max="6401" width="7.7109375" style="78" customWidth="1"/>
    <col min="6402" max="6402" width="50.7109375" style="78" customWidth="1"/>
    <col min="6403" max="6403" width="9" style="78" customWidth="1"/>
    <col min="6404" max="6404" width="8.7109375" style="78" customWidth="1"/>
    <col min="6405" max="6405" width="7.85546875" style="78" customWidth="1"/>
    <col min="6406" max="6406" width="10.7109375" style="78" customWidth="1"/>
    <col min="6407" max="6656" width="9.140625" style="78"/>
    <col min="6657" max="6657" width="7.7109375" style="78" customWidth="1"/>
    <col min="6658" max="6658" width="50.7109375" style="78" customWidth="1"/>
    <col min="6659" max="6659" width="9" style="78" customWidth="1"/>
    <col min="6660" max="6660" width="8.7109375" style="78" customWidth="1"/>
    <col min="6661" max="6661" width="7.85546875" style="78" customWidth="1"/>
    <col min="6662" max="6662" width="10.7109375" style="78" customWidth="1"/>
    <col min="6663" max="6912" width="9.140625" style="78"/>
    <col min="6913" max="6913" width="7.7109375" style="78" customWidth="1"/>
    <col min="6914" max="6914" width="50.7109375" style="78" customWidth="1"/>
    <col min="6915" max="6915" width="9" style="78" customWidth="1"/>
    <col min="6916" max="6916" width="8.7109375" style="78" customWidth="1"/>
    <col min="6917" max="6917" width="7.85546875" style="78" customWidth="1"/>
    <col min="6918" max="6918" width="10.7109375" style="78" customWidth="1"/>
    <col min="6919" max="7168" width="9.140625" style="78"/>
    <col min="7169" max="7169" width="7.7109375" style="78" customWidth="1"/>
    <col min="7170" max="7170" width="50.7109375" style="78" customWidth="1"/>
    <col min="7171" max="7171" width="9" style="78" customWidth="1"/>
    <col min="7172" max="7172" width="8.7109375" style="78" customWidth="1"/>
    <col min="7173" max="7173" width="7.85546875" style="78" customWidth="1"/>
    <col min="7174" max="7174" width="10.7109375" style="78" customWidth="1"/>
    <col min="7175" max="7424" width="9.140625" style="78"/>
    <col min="7425" max="7425" width="7.7109375" style="78" customWidth="1"/>
    <col min="7426" max="7426" width="50.7109375" style="78" customWidth="1"/>
    <col min="7427" max="7427" width="9" style="78" customWidth="1"/>
    <col min="7428" max="7428" width="8.7109375" style="78" customWidth="1"/>
    <col min="7429" max="7429" width="7.85546875" style="78" customWidth="1"/>
    <col min="7430" max="7430" width="10.7109375" style="78" customWidth="1"/>
    <col min="7431" max="7680" width="9.140625" style="78"/>
    <col min="7681" max="7681" width="7.7109375" style="78" customWidth="1"/>
    <col min="7682" max="7682" width="50.7109375" style="78" customWidth="1"/>
    <col min="7683" max="7683" width="9" style="78" customWidth="1"/>
    <col min="7684" max="7684" width="8.7109375" style="78" customWidth="1"/>
    <col min="7685" max="7685" width="7.85546875" style="78" customWidth="1"/>
    <col min="7686" max="7686" width="10.7109375" style="78" customWidth="1"/>
    <col min="7687" max="7936" width="9.140625" style="78"/>
    <col min="7937" max="7937" width="7.7109375" style="78" customWidth="1"/>
    <col min="7938" max="7938" width="50.7109375" style="78" customWidth="1"/>
    <col min="7939" max="7939" width="9" style="78" customWidth="1"/>
    <col min="7940" max="7940" width="8.7109375" style="78" customWidth="1"/>
    <col min="7941" max="7941" width="7.85546875" style="78" customWidth="1"/>
    <col min="7942" max="7942" width="10.7109375" style="78" customWidth="1"/>
    <col min="7943" max="8192" width="9.140625" style="78"/>
    <col min="8193" max="8193" width="7.7109375" style="78" customWidth="1"/>
    <col min="8194" max="8194" width="50.7109375" style="78" customWidth="1"/>
    <col min="8195" max="8195" width="9" style="78" customWidth="1"/>
    <col min="8196" max="8196" width="8.7109375" style="78" customWidth="1"/>
    <col min="8197" max="8197" width="7.85546875" style="78" customWidth="1"/>
    <col min="8198" max="8198" width="10.7109375" style="78" customWidth="1"/>
    <col min="8199" max="8448" width="9.140625" style="78"/>
    <col min="8449" max="8449" width="7.7109375" style="78" customWidth="1"/>
    <col min="8450" max="8450" width="50.7109375" style="78" customWidth="1"/>
    <col min="8451" max="8451" width="9" style="78" customWidth="1"/>
    <col min="8452" max="8452" width="8.7109375" style="78" customWidth="1"/>
    <col min="8453" max="8453" width="7.85546875" style="78" customWidth="1"/>
    <col min="8454" max="8454" width="10.7109375" style="78" customWidth="1"/>
    <col min="8455" max="8704" width="9.140625" style="78"/>
    <col min="8705" max="8705" width="7.7109375" style="78" customWidth="1"/>
    <col min="8706" max="8706" width="50.7109375" style="78" customWidth="1"/>
    <col min="8707" max="8707" width="9" style="78" customWidth="1"/>
    <col min="8708" max="8708" width="8.7109375" style="78" customWidth="1"/>
    <col min="8709" max="8709" width="7.85546875" style="78" customWidth="1"/>
    <col min="8710" max="8710" width="10.7109375" style="78" customWidth="1"/>
    <col min="8711" max="8960" width="9.140625" style="78"/>
    <col min="8961" max="8961" width="7.7109375" style="78" customWidth="1"/>
    <col min="8962" max="8962" width="50.7109375" style="78" customWidth="1"/>
    <col min="8963" max="8963" width="9" style="78" customWidth="1"/>
    <col min="8964" max="8964" width="8.7109375" style="78" customWidth="1"/>
    <col min="8965" max="8965" width="7.85546875" style="78" customWidth="1"/>
    <col min="8966" max="8966" width="10.7109375" style="78" customWidth="1"/>
    <col min="8967" max="9216" width="9.140625" style="78"/>
    <col min="9217" max="9217" width="7.7109375" style="78" customWidth="1"/>
    <col min="9218" max="9218" width="50.7109375" style="78" customWidth="1"/>
    <col min="9219" max="9219" width="9" style="78" customWidth="1"/>
    <col min="9220" max="9220" width="8.7109375" style="78" customWidth="1"/>
    <col min="9221" max="9221" width="7.85546875" style="78" customWidth="1"/>
    <col min="9222" max="9222" width="10.7109375" style="78" customWidth="1"/>
    <col min="9223" max="9472" width="9.140625" style="78"/>
    <col min="9473" max="9473" width="7.7109375" style="78" customWidth="1"/>
    <col min="9474" max="9474" width="50.7109375" style="78" customWidth="1"/>
    <col min="9475" max="9475" width="9" style="78" customWidth="1"/>
    <col min="9476" max="9476" width="8.7109375" style="78" customWidth="1"/>
    <col min="9477" max="9477" width="7.85546875" style="78" customWidth="1"/>
    <col min="9478" max="9478" width="10.7109375" style="78" customWidth="1"/>
    <col min="9479" max="9728" width="9.140625" style="78"/>
    <col min="9729" max="9729" width="7.7109375" style="78" customWidth="1"/>
    <col min="9730" max="9730" width="50.7109375" style="78" customWidth="1"/>
    <col min="9731" max="9731" width="9" style="78" customWidth="1"/>
    <col min="9732" max="9732" width="8.7109375" style="78" customWidth="1"/>
    <col min="9733" max="9733" width="7.85546875" style="78" customWidth="1"/>
    <col min="9734" max="9734" width="10.7109375" style="78" customWidth="1"/>
    <col min="9735" max="9984" width="9.140625" style="78"/>
    <col min="9985" max="9985" width="7.7109375" style="78" customWidth="1"/>
    <col min="9986" max="9986" width="50.7109375" style="78" customWidth="1"/>
    <col min="9987" max="9987" width="9" style="78" customWidth="1"/>
    <col min="9988" max="9988" width="8.7109375" style="78" customWidth="1"/>
    <col min="9989" max="9989" width="7.85546875" style="78" customWidth="1"/>
    <col min="9990" max="9990" width="10.7109375" style="78" customWidth="1"/>
    <col min="9991" max="10240" width="9.140625" style="78"/>
    <col min="10241" max="10241" width="7.7109375" style="78" customWidth="1"/>
    <col min="10242" max="10242" width="50.7109375" style="78" customWidth="1"/>
    <col min="10243" max="10243" width="9" style="78" customWidth="1"/>
    <col min="10244" max="10244" width="8.7109375" style="78" customWidth="1"/>
    <col min="10245" max="10245" width="7.85546875" style="78" customWidth="1"/>
    <col min="10246" max="10246" width="10.7109375" style="78" customWidth="1"/>
    <col min="10247" max="10496" width="9.140625" style="78"/>
    <col min="10497" max="10497" width="7.7109375" style="78" customWidth="1"/>
    <col min="10498" max="10498" width="50.7109375" style="78" customWidth="1"/>
    <col min="10499" max="10499" width="9" style="78" customWidth="1"/>
    <col min="10500" max="10500" width="8.7109375" style="78" customWidth="1"/>
    <col min="10501" max="10501" width="7.85546875" style="78" customWidth="1"/>
    <col min="10502" max="10502" width="10.7109375" style="78" customWidth="1"/>
    <col min="10503" max="10752" width="9.140625" style="78"/>
    <col min="10753" max="10753" width="7.7109375" style="78" customWidth="1"/>
    <col min="10754" max="10754" width="50.7109375" style="78" customWidth="1"/>
    <col min="10755" max="10755" width="9" style="78" customWidth="1"/>
    <col min="10756" max="10756" width="8.7109375" style="78" customWidth="1"/>
    <col min="10757" max="10757" width="7.85546875" style="78" customWidth="1"/>
    <col min="10758" max="10758" width="10.7109375" style="78" customWidth="1"/>
    <col min="10759" max="11008" width="9.140625" style="78"/>
    <col min="11009" max="11009" width="7.7109375" style="78" customWidth="1"/>
    <col min="11010" max="11010" width="50.7109375" style="78" customWidth="1"/>
    <col min="11011" max="11011" width="9" style="78" customWidth="1"/>
    <col min="11012" max="11012" width="8.7109375" style="78" customWidth="1"/>
    <col min="11013" max="11013" width="7.85546875" style="78" customWidth="1"/>
    <col min="11014" max="11014" width="10.7109375" style="78" customWidth="1"/>
    <col min="11015" max="11264" width="9.140625" style="78"/>
    <col min="11265" max="11265" width="7.7109375" style="78" customWidth="1"/>
    <col min="11266" max="11266" width="50.7109375" style="78" customWidth="1"/>
    <col min="11267" max="11267" width="9" style="78" customWidth="1"/>
    <col min="11268" max="11268" width="8.7109375" style="78" customWidth="1"/>
    <col min="11269" max="11269" width="7.85546875" style="78" customWidth="1"/>
    <col min="11270" max="11270" width="10.7109375" style="78" customWidth="1"/>
    <col min="11271" max="11520" width="9.140625" style="78"/>
    <col min="11521" max="11521" width="7.7109375" style="78" customWidth="1"/>
    <col min="11522" max="11522" width="50.7109375" style="78" customWidth="1"/>
    <col min="11523" max="11523" width="9" style="78" customWidth="1"/>
    <col min="11524" max="11524" width="8.7109375" style="78" customWidth="1"/>
    <col min="11525" max="11525" width="7.85546875" style="78" customWidth="1"/>
    <col min="11526" max="11526" width="10.7109375" style="78" customWidth="1"/>
    <col min="11527" max="11776" width="9.140625" style="78"/>
    <col min="11777" max="11777" width="7.7109375" style="78" customWidth="1"/>
    <col min="11778" max="11778" width="50.7109375" style="78" customWidth="1"/>
    <col min="11779" max="11779" width="9" style="78" customWidth="1"/>
    <col min="11780" max="11780" width="8.7109375" style="78" customWidth="1"/>
    <col min="11781" max="11781" width="7.85546875" style="78" customWidth="1"/>
    <col min="11782" max="11782" width="10.7109375" style="78" customWidth="1"/>
    <col min="11783" max="12032" width="9.140625" style="78"/>
    <col min="12033" max="12033" width="7.7109375" style="78" customWidth="1"/>
    <col min="12034" max="12034" width="50.7109375" style="78" customWidth="1"/>
    <col min="12035" max="12035" width="9" style="78" customWidth="1"/>
    <col min="12036" max="12036" width="8.7109375" style="78" customWidth="1"/>
    <col min="12037" max="12037" width="7.85546875" style="78" customWidth="1"/>
    <col min="12038" max="12038" width="10.7109375" style="78" customWidth="1"/>
    <col min="12039" max="12288" width="9.140625" style="78"/>
    <col min="12289" max="12289" width="7.7109375" style="78" customWidth="1"/>
    <col min="12290" max="12290" width="50.7109375" style="78" customWidth="1"/>
    <col min="12291" max="12291" width="9" style="78" customWidth="1"/>
    <col min="12292" max="12292" width="8.7109375" style="78" customWidth="1"/>
    <col min="12293" max="12293" width="7.85546875" style="78" customWidth="1"/>
    <col min="12294" max="12294" width="10.7109375" style="78" customWidth="1"/>
    <col min="12295" max="12544" width="9.140625" style="78"/>
    <col min="12545" max="12545" width="7.7109375" style="78" customWidth="1"/>
    <col min="12546" max="12546" width="50.7109375" style="78" customWidth="1"/>
    <col min="12547" max="12547" width="9" style="78" customWidth="1"/>
    <col min="12548" max="12548" width="8.7109375" style="78" customWidth="1"/>
    <col min="12549" max="12549" width="7.85546875" style="78" customWidth="1"/>
    <col min="12550" max="12550" width="10.7109375" style="78" customWidth="1"/>
    <col min="12551" max="12800" width="9.140625" style="78"/>
    <col min="12801" max="12801" width="7.7109375" style="78" customWidth="1"/>
    <col min="12802" max="12802" width="50.7109375" style="78" customWidth="1"/>
    <col min="12803" max="12803" width="9" style="78" customWidth="1"/>
    <col min="12804" max="12804" width="8.7109375" style="78" customWidth="1"/>
    <col min="12805" max="12805" width="7.85546875" style="78" customWidth="1"/>
    <col min="12806" max="12806" width="10.7109375" style="78" customWidth="1"/>
    <col min="12807" max="13056" width="9.140625" style="78"/>
    <col min="13057" max="13057" width="7.7109375" style="78" customWidth="1"/>
    <col min="13058" max="13058" width="50.7109375" style="78" customWidth="1"/>
    <col min="13059" max="13059" width="9" style="78" customWidth="1"/>
    <col min="13060" max="13060" width="8.7109375" style="78" customWidth="1"/>
    <col min="13061" max="13061" width="7.85546875" style="78" customWidth="1"/>
    <col min="13062" max="13062" width="10.7109375" style="78" customWidth="1"/>
    <col min="13063" max="13312" width="9.140625" style="78"/>
    <col min="13313" max="13313" width="7.7109375" style="78" customWidth="1"/>
    <col min="13314" max="13314" width="50.7109375" style="78" customWidth="1"/>
    <col min="13315" max="13315" width="9" style="78" customWidth="1"/>
    <col min="13316" max="13316" width="8.7109375" style="78" customWidth="1"/>
    <col min="13317" max="13317" width="7.85546875" style="78" customWidth="1"/>
    <col min="13318" max="13318" width="10.7109375" style="78" customWidth="1"/>
    <col min="13319" max="13568" width="9.140625" style="78"/>
    <col min="13569" max="13569" width="7.7109375" style="78" customWidth="1"/>
    <col min="13570" max="13570" width="50.7109375" style="78" customWidth="1"/>
    <col min="13571" max="13571" width="9" style="78" customWidth="1"/>
    <col min="13572" max="13572" width="8.7109375" style="78" customWidth="1"/>
    <col min="13573" max="13573" width="7.85546875" style="78" customWidth="1"/>
    <col min="13574" max="13574" width="10.7109375" style="78" customWidth="1"/>
    <col min="13575" max="13824" width="9.140625" style="78"/>
    <col min="13825" max="13825" width="7.7109375" style="78" customWidth="1"/>
    <col min="13826" max="13826" width="50.7109375" style="78" customWidth="1"/>
    <col min="13827" max="13827" width="9" style="78" customWidth="1"/>
    <col min="13828" max="13828" width="8.7109375" style="78" customWidth="1"/>
    <col min="13829" max="13829" width="7.85546875" style="78" customWidth="1"/>
    <col min="13830" max="13830" width="10.7109375" style="78" customWidth="1"/>
    <col min="13831" max="14080" width="9.140625" style="78"/>
    <col min="14081" max="14081" width="7.7109375" style="78" customWidth="1"/>
    <col min="14082" max="14082" width="50.7109375" style="78" customWidth="1"/>
    <col min="14083" max="14083" width="9" style="78" customWidth="1"/>
    <col min="14084" max="14084" width="8.7109375" style="78" customWidth="1"/>
    <col min="14085" max="14085" width="7.85546875" style="78" customWidth="1"/>
    <col min="14086" max="14086" width="10.7109375" style="78" customWidth="1"/>
    <col min="14087" max="14336" width="9.140625" style="78"/>
    <col min="14337" max="14337" width="7.7109375" style="78" customWidth="1"/>
    <col min="14338" max="14338" width="50.7109375" style="78" customWidth="1"/>
    <col min="14339" max="14339" width="9" style="78" customWidth="1"/>
    <col min="14340" max="14340" width="8.7109375" style="78" customWidth="1"/>
    <col min="14341" max="14341" width="7.85546875" style="78" customWidth="1"/>
    <col min="14342" max="14342" width="10.7109375" style="78" customWidth="1"/>
    <col min="14343" max="14592" width="9.140625" style="78"/>
    <col min="14593" max="14593" width="7.7109375" style="78" customWidth="1"/>
    <col min="14594" max="14594" width="50.7109375" style="78" customWidth="1"/>
    <col min="14595" max="14595" width="9" style="78" customWidth="1"/>
    <col min="14596" max="14596" width="8.7109375" style="78" customWidth="1"/>
    <col min="14597" max="14597" width="7.85546875" style="78" customWidth="1"/>
    <col min="14598" max="14598" width="10.7109375" style="78" customWidth="1"/>
    <col min="14599" max="14848" width="9.140625" style="78"/>
    <col min="14849" max="14849" width="7.7109375" style="78" customWidth="1"/>
    <col min="14850" max="14850" width="50.7109375" style="78" customWidth="1"/>
    <col min="14851" max="14851" width="9" style="78" customWidth="1"/>
    <col min="14852" max="14852" width="8.7109375" style="78" customWidth="1"/>
    <col min="14853" max="14853" width="7.85546875" style="78" customWidth="1"/>
    <col min="14854" max="14854" width="10.7109375" style="78" customWidth="1"/>
    <col min="14855" max="15104" width="9.140625" style="78"/>
    <col min="15105" max="15105" width="7.7109375" style="78" customWidth="1"/>
    <col min="15106" max="15106" width="50.7109375" style="78" customWidth="1"/>
    <col min="15107" max="15107" width="9" style="78" customWidth="1"/>
    <col min="15108" max="15108" width="8.7109375" style="78" customWidth="1"/>
    <col min="15109" max="15109" width="7.85546875" style="78" customWidth="1"/>
    <col min="15110" max="15110" width="10.7109375" style="78" customWidth="1"/>
    <col min="15111" max="15360" width="9.140625" style="78"/>
    <col min="15361" max="15361" width="7.7109375" style="78" customWidth="1"/>
    <col min="15362" max="15362" width="50.7109375" style="78" customWidth="1"/>
    <col min="15363" max="15363" width="9" style="78" customWidth="1"/>
    <col min="15364" max="15364" width="8.7109375" style="78" customWidth="1"/>
    <col min="15365" max="15365" width="7.85546875" style="78" customWidth="1"/>
    <col min="15366" max="15366" width="10.7109375" style="78" customWidth="1"/>
    <col min="15367" max="15616" width="9.140625" style="78"/>
    <col min="15617" max="15617" width="7.7109375" style="78" customWidth="1"/>
    <col min="15618" max="15618" width="50.7109375" style="78" customWidth="1"/>
    <col min="15619" max="15619" width="9" style="78" customWidth="1"/>
    <col min="15620" max="15620" width="8.7109375" style="78" customWidth="1"/>
    <col min="15621" max="15621" width="7.85546875" style="78" customWidth="1"/>
    <col min="15622" max="15622" width="10.7109375" style="78" customWidth="1"/>
    <col min="15623" max="15872" width="9.140625" style="78"/>
    <col min="15873" max="15873" width="7.7109375" style="78" customWidth="1"/>
    <col min="15874" max="15874" width="50.7109375" style="78" customWidth="1"/>
    <col min="15875" max="15875" width="9" style="78" customWidth="1"/>
    <col min="15876" max="15876" width="8.7109375" style="78" customWidth="1"/>
    <col min="15877" max="15877" width="7.85546875" style="78" customWidth="1"/>
    <col min="15878" max="15878" width="10.7109375" style="78" customWidth="1"/>
    <col min="15879" max="16128" width="9.140625" style="78"/>
    <col min="16129" max="16129" width="7.7109375" style="78" customWidth="1"/>
    <col min="16130" max="16130" width="50.7109375" style="78" customWidth="1"/>
    <col min="16131" max="16131" width="9" style="78" customWidth="1"/>
    <col min="16132" max="16132" width="8.7109375" style="78" customWidth="1"/>
    <col min="16133" max="16133" width="7.85546875" style="78" customWidth="1"/>
    <col min="16134" max="16134" width="10.7109375" style="78" customWidth="1"/>
    <col min="16135" max="16384" width="9.140625" style="78"/>
  </cols>
  <sheetData>
    <row r="1" spans="1:14" ht="60" customHeight="1" thickTop="1" thickBot="1">
      <c r="A1" s="77"/>
      <c r="B1" s="1687"/>
      <c r="C1" s="1688"/>
      <c r="D1" s="1688"/>
      <c r="E1" s="1688"/>
      <c r="F1" s="1688"/>
    </row>
    <row r="2" spans="1:14" ht="28.5" customHeight="1" thickTop="1">
      <c r="A2" s="1695" t="s">
        <v>3935</v>
      </c>
      <c r="B2" s="1695"/>
      <c r="C2" s="1695"/>
      <c r="D2" s="1695"/>
      <c r="E2" s="1695"/>
      <c r="F2" s="1695"/>
    </row>
    <row r="3" spans="1:14" ht="24.95" customHeight="1">
      <c r="A3" s="757" t="s">
        <v>992</v>
      </c>
      <c r="B3" s="758" t="s">
        <v>3936</v>
      </c>
      <c r="C3" s="757" t="s">
        <v>3937</v>
      </c>
      <c r="D3" s="757" t="s">
        <v>99</v>
      </c>
      <c r="E3" s="759" t="s">
        <v>3938</v>
      </c>
      <c r="F3" s="757" t="s">
        <v>3939</v>
      </c>
    </row>
    <row r="4" spans="1:14">
      <c r="A4" s="82"/>
      <c r="B4" s="83"/>
      <c r="C4" s="84"/>
      <c r="D4" s="84"/>
      <c r="E4" s="84"/>
      <c r="F4" s="85"/>
      <c r="G4" s="8"/>
      <c r="H4" s="8"/>
      <c r="I4" s="8"/>
      <c r="J4" s="8"/>
      <c r="K4" s="8"/>
    </row>
    <row r="5" spans="1:14" s="87" customFormat="1" ht="12.75">
      <c r="A5" s="760" t="s">
        <v>3940</v>
      </c>
      <c r="B5" s="761" t="s">
        <v>3941</v>
      </c>
    </row>
    <row r="6" spans="1:14" s="101" customFormat="1" ht="101.25">
      <c r="A6" s="760"/>
      <c r="B6" s="762" t="s">
        <v>3942</v>
      </c>
      <c r="C6" s="763"/>
      <c r="D6" s="764"/>
      <c r="E6" s="832"/>
      <c r="F6" s="765"/>
      <c r="G6" s="94"/>
      <c r="H6" s="94"/>
      <c r="I6" s="94"/>
      <c r="J6" s="94"/>
      <c r="K6" s="94"/>
      <c r="L6" s="94"/>
    </row>
    <row r="7" spans="1:14" ht="12.75">
      <c r="A7" s="760"/>
      <c r="B7" s="760" t="s">
        <v>3943</v>
      </c>
      <c r="C7" s="763"/>
      <c r="D7" s="766"/>
      <c r="E7" s="832"/>
      <c r="F7" s="765"/>
      <c r="G7" s="8"/>
      <c r="H7" s="8"/>
      <c r="I7" s="8"/>
      <c r="J7" s="8"/>
      <c r="K7" s="8"/>
      <c r="L7" s="8"/>
      <c r="M7" s="8"/>
      <c r="N7" s="8"/>
    </row>
    <row r="8" spans="1:14" ht="12.75">
      <c r="A8" s="760"/>
      <c r="B8" s="767"/>
      <c r="C8" s="763" t="s">
        <v>3944</v>
      </c>
      <c r="D8" s="768">
        <v>141</v>
      </c>
      <c r="E8" s="143"/>
      <c r="F8" s="769">
        <f>D8*E8</f>
        <v>0</v>
      </c>
    </row>
    <row r="9" spans="1:14" ht="12.75">
      <c r="A9" s="760"/>
      <c r="B9" s="760"/>
      <c r="C9" s="763"/>
      <c r="D9" s="766"/>
      <c r="E9" s="832"/>
      <c r="F9" s="770"/>
    </row>
    <row r="10" spans="1:14" s="87" customFormat="1" ht="12.75">
      <c r="A10" s="760" t="s">
        <v>3945</v>
      </c>
      <c r="B10" s="771" t="s">
        <v>3946</v>
      </c>
      <c r="E10" s="833"/>
    </row>
    <row r="11" spans="1:14" ht="22.5">
      <c r="A11" s="772"/>
      <c r="B11" s="749" t="s">
        <v>3947</v>
      </c>
      <c r="C11" s="763"/>
      <c r="D11" s="766"/>
      <c r="E11" s="832"/>
      <c r="F11" s="765"/>
      <c r="G11" s="87"/>
    </row>
    <row r="12" spans="1:14" s="87" customFormat="1" ht="12.75">
      <c r="A12" s="760"/>
      <c r="B12" s="749" t="s">
        <v>3943</v>
      </c>
      <c r="C12" s="763"/>
      <c r="D12" s="766"/>
      <c r="E12" s="832"/>
      <c r="F12" s="765"/>
      <c r="G12" s="78"/>
    </row>
    <row r="13" spans="1:14" s="88" customFormat="1" ht="12.75">
      <c r="A13" s="760"/>
      <c r="B13" s="773"/>
      <c r="C13" s="763" t="s">
        <v>3944</v>
      </c>
      <c r="D13" s="768">
        <v>65</v>
      </c>
      <c r="E13" s="143"/>
      <c r="F13" s="769">
        <f>D13*E13</f>
        <v>0</v>
      </c>
      <c r="G13" s="87"/>
      <c r="H13" s="95"/>
      <c r="I13" s="95"/>
      <c r="J13" s="95"/>
      <c r="K13" s="87"/>
      <c r="L13" s="87"/>
    </row>
    <row r="14" spans="1:14" s="88" customFormat="1" ht="12.75">
      <c r="A14" s="761"/>
      <c r="B14" s="773"/>
      <c r="C14" s="763"/>
      <c r="D14" s="765"/>
      <c r="E14" s="144"/>
      <c r="F14" s="770"/>
      <c r="G14" s="87"/>
    </row>
    <row r="15" spans="1:14" s="87" customFormat="1" ht="12.75">
      <c r="A15" s="760" t="s">
        <v>3948</v>
      </c>
      <c r="B15" s="761" t="s">
        <v>3949</v>
      </c>
      <c r="E15" s="833"/>
    </row>
    <row r="16" spans="1:14" ht="78.75">
      <c r="A16" s="760"/>
      <c r="B16" s="762" t="s">
        <v>3950</v>
      </c>
      <c r="C16" s="763"/>
      <c r="D16" s="766"/>
      <c r="E16" s="832"/>
      <c r="F16" s="765"/>
    </row>
    <row r="17" spans="1:7" s="87" customFormat="1" ht="12.75">
      <c r="A17" s="760"/>
      <c r="B17" s="760" t="s">
        <v>3951</v>
      </c>
      <c r="C17" s="763"/>
      <c r="D17" s="766"/>
      <c r="E17" s="832"/>
      <c r="F17" s="765"/>
      <c r="G17" s="78"/>
    </row>
    <row r="18" spans="1:7" ht="12.75">
      <c r="A18" s="760"/>
      <c r="B18" s="773"/>
      <c r="C18" s="763" t="s">
        <v>3944</v>
      </c>
      <c r="D18" s="765">
        <v>63</v>
      </c>
      <c r="E18" s="143"/>
      <c r="F18" s="769">
        <f>D18*E18</f>
        <v>0</v>
      </c>
    </row>
    <row r="19" spans="1:7" ht="12.75">
      <c r="A19" s="760"/>
      <c r="B19" s="760"/>
      <c r="C19" s="763"/>
      <c r="D19" s="766"/>
      <c r="E19" s="834"/>
      <c r="F19" s="765"/>
      <c r="G19" s="94"/>
    </row>
    <row r="20" spans="1:7" ht="12.75">
      <c r="A20" s="760" t="s">
        <v>3952</v>
      </c>
      <c r="B20" s="761" t="s">
        <v>3953</v>
      </c>
      <c r="C20" s="763"/>
      <c r="D20" s="765"/>
      <c r="E20" s="835"/>
      <c r="F20" s="770"/>
    </row>
    <row r="21" spans="1:7" s="87" customFormat="1" ht="56.25">
      <c r="A21" s="760"/>
      <c r="B21" s="762" t="s">
        <v>3954</v>
      </c>
      <c r="C21" s="763"/>
      <c r="D21" s="766"/>
      <c r="E21" s="832"/>
      <c r="F21" s="765"/>
      <c r="G21" s="88"/>
    </row>
    <row r="22" spans="1:7" ht="12.75">
      <c r="A22" s="760"/>
      <c r="B22" s="760" t="s">
        <v>3955</v>
      </c>
      <c r="C22" s="763"/>
      <c r="D22" s="766"/>
      <c r="E22" s="832"/>
      <c r="F22" s="765"/>
      <c r="G22" s="87"/>
    </row>
    <row r="23" spans="1:7" s="87" customFormat="1" ht="12.75">
      <c r="A23" s="760"/>
      <c r="B23" s="773"/>
      <c r="C23" s="763" t="s">
        <v>3944</v>
      </c>
      <c r="D23" s="765">
        <v>76</v>
      </c>
      <c r="E23" s="143"/>
      <c r="F23" s="769">
        <f>D23*E23</f>
        <v>0</v>
      </c>
      <c r="G23" s="78"/>
    </row>
    <row r="24" spans="1:7" ht="12.75">
      <c r="A24" s="760"/>
      <c r="B24" s="760"/>
      <c r="C24" s="763"/>
      <c r="D24" s="766"/>
      <c r="E24" s="834"/>
      <c r="F24" s="765"/>
      <c r="G24" s="94"/>
    </row>
    <row r="25" spans="1:7" ht="12.75">
      <c r="A25" s="760" t="s">
        <v>3956</v>
      </c>
      <c r="B25" s="761" t="s">
        <v>3957</v>
      </c>
      <c r="C25" s="763"/>
      <c r="D25" s="765"/>
      <c r="E25" s="835"/>
      <c r="F25" s="770"/>
    </row>
    <row r="26" spans="1:7" s="87" customFormat="1" ht="67.5">
      <c r="A26" s="760"/>
      <c r="B26" s="762" t="s">
        <v>3958</v>
      </c>
      <c r="C26" s="763"/>
      <c r="D26" s="766"/>
      <c r="E26" s="832"/>
      <c r="F26" s="765"/>
      <c r="G26" s="88"/>
    </row>
    <row r="27" spans="1:7" ht="12.75">
      <c r="A27" s="760"/>
      <c r="B27" s="760" t="s">
        <v>3955</v>
      </c>
      <c r="C27" s="763"/>
      <c r="D27" s="766"/>
      <c r="E27" s="832"/>
      <c r="F27" s="765"/>
      <c r="G27" s="87"/>
    </row>
    <row r="28" spans="1:7" s="87" customFormat="1" ht="12.75">
      <c r="A28" s="760"/>
      <c r="B28" s="773"/>
      <c r="C28" s="763" t="s">
        <v>3944</v>
      </c>
      <c r="D28" s="765">
        <v>46</v>
      </c>
      <c r="E28" s="143"/>
      <c r="F28" s="769">
        <f>D28*E28</f>
        <v>0</v>
      </c>
      <c r="G28" s="78"/>
    </row>
    <row r="29" spans="1:7" s="87" customFormat="1" ht="12.75">
      <c r="A29" s="760"/>
      <c r="B29" s="760"/>
      <c r="C29" s="763"/>
      <c r="D29" s="766"/>
      <c r="E29" s="832"/>
      <c r="F29" s="765"/>
    </row>
    <row r="30" spans="1:7" ht="13.5" customHeight="1">
      <c r="A30" s="760" t="s">
        <v>3959</v>
      </c>
      <c r="B30" s="761" t="s">
        <v>3960</v>
      </c>
      <c r="E30" s="835"/>
      <c r="G30" s="87"/>
    </row>
    <row r="31" spans="1:7" s="87" customFormat="1" ht="45">
      <c r="A31" s="760"/>
      <c r="B31" s="762" t="s">
        <v>3961</v>
      </c>
      <c r="C31" s="763"/>
      <c r="D31" s="766"/>
      <c r="E31" s="832"/>
      <c r="F31" s="765"/>
      <c r="G31" s="78"/>
    </row>
    <row r="32" spans="1:7" s="87" customFormat="1" ht="12.75">
      <c r="A32" s="760"/>
      <c r="B32" s="760" t="s">
        <v>3962</v>
      </c>
      <c r="C32" s="763"/>
      <c r="D32" s="766"/>
      <c r="E32" s="832"/>
      <c r="F32" s="765"/>
      <c r="G32" s="78"/>
    </row>
    <row r="33" spans="1:13" ht="12.75">
      <c r="A33" s="760"/>
      <c r="B33" s="774"/>
      <c r="C33" s="763" t="s">
        <v>3944</v>
      </c>
      <c r="D33" s="765">
        <v>146</v>
      </c>
      <c r="E33" s="143"/>
      <c r="F33" s="769">
        <f>D33*E33</f>
        <v>0</v>
      </c>
      <c r="G33" s="94"/>
    </row>
    <row r="34" spans="1:13" ht="12.75">
      <c r="A34" s="760"/>
      <c r="B34" s="760"/>
      <c r="C34" s="763"/>
      <c r="D34" s="766"/>
      <c r="E34" s="832"/>
      <c r="F34" s="765"/>
    </row>
    <row r="35" spans="1:13" s="101" customFormat="1" ht="12.75">
      <c r="A35" s="760" t="s">
        <v>3963</v>
      </c>
      <c r="B35" s="761" t="s">
        <v>3964</v>
      </c>
      <c r="E35" s="836"/>
      <c r="G35" s="78"/>
      <c r="H35" s="94"/>
      <c r="I35" s="94"/>
      <c r="J35" s="94"/>
      <c r="K35" s="94"/>
      <c r="L35" s="94"/>
      <c r="M35" s="94"/>
    </row>
    <row r="36" spans="1:13" ht="33.75">
      <c r="A36" s="760"/>
      <c r="B36" s="775" t="s">
        <v>3965</v>
      </c>
      <c r="C36" s="763"/>
      <c r="D36" s="766"/>
      <c r="E36" s="837"/>
      <c r="F36" s="765"/>
      <c r="G36" s="87"/>
    </row>
    <row r="37" spans="1:13" ht="12.75">
      <c r="A37" s="760"/>
      <c r="B37" s="760" t="s">
        <v>3966</v>
      </c>
      <c r="C37" s="763"/>
      <c r="D37" s="766"/>
      <c r="E37" s="837"/>
      <c r="F37" s="765"/>
    </row>
    <row r="38" spans="1:13" s="87" customFormat="1" ht="12.75">
      <c r="A38" s="776"/>
      <c r="B38" s="776"/>
      <c r="C38" s="763" t="s">
        <v>3967</v>
      </c>
      <c r="D38" s="765">
        <v>2</v>
      </c>
      <c r="E38" s="143"/>
      <c r="F38" s="769">
        <f>D38*E38</f>
        <v>0</v>
      </c>
    </row>
    <row r="39" spans="1:13" s="87" customFormat="1" ht="12.75">
      <c r="A39" s="776"/>
      <c r="B39" s="776"/>
      <c r="C39" s="763"/>
      <c r="D39" s="765"/>
      <c r="E39" s="144"/>
      <c r="F39" s="770"/>
    </row>
    <row r="40" spans="1:13" s="87" customFormat="1" ht="12.75">
      <c r="A40" s="760" t="s">
        <v>3968</v>
      </c>
      <c r="B40" s="777" t="s">
        <v>3969</v>
      </c>
      <c r="C40" s="778"/>
      <c r="D40" s="779"/>
      <c r="E40" s="838"/>
      <c r="F40" s="780"/>
    </row>
    <row r="41" spans="1:13" ht="117" customHeight="1">
      <c r="A41" s="781"/>
      <c r="B41" s="782" t="s">
        <v>3970</v>
      </c>
      <c r="C41" s="783"/>
      <c r="D41" s="145"/>
      <c r="E41" s="146"/>
      <c r="F41" s="147"/>
      <c r="G41" s="94"/>
    </row>
    <row r="42" spans="1:13" ht="21">
      <c r="A42" s="781"/>
      <c r="B42" s="784" t="s">
        <v>3971</v>
      </c>
      <c r="C42" s="778"/>
      <c r="D42" s="779"/>
      <c r="E42" s="839"/>
      <c r="F42" s="785"/>
    </row>
    <row r="43" spans="1:13" s="101" customFormat="1" ht="12.75">
      <c r="A43" s="781"/>
      <c r="B43" s="786"/>
      <c r="C43" s="763" t="s">
        <v>3967</v>
      </c>
      <c r="D43" s="765">
        <v>1</v>
      </c>
      <c r="E43" s="143"/>
      <c r="F43" s="769">
        <f>D43*E43</f>
        <v>0</v>
      </c>
      <c r="G43" s="78"/>
      <c r="H43" s="94"/>
      <c r="I43" s="94"/>
      <c r="J43" s="94"/>
      <c r="K43" s="94"/>
      <c r="L43" s="94"/>
      <c r="M43" s="94"/>
    </row>
    <row r="44" spans="1:13" ht="12.75">
      <c r="A44" s="781"/>
      <c r="B44" s="787"/>
      <c r="C44" s="788"/>
      <c r="D44" s="789"/>
      <c r="E44" s="840"/>
      <c r="F44" s="790"/>
      <c r="G44" s="94"/>
    </row>
    <row r="45" spans="1:13" ht="12.75">
      <c r="A45" s="760" t="s">
        <v>3972</v>
      </c>
      <c r="B45" s="777" t="s">
        <v>3973</v>
      </c>
      <c r="C45" s="788"/>
      <c r="D45" s="789"/>
      <c r="E45" s="841"/>
      <c r="F45" s="791"/>
    </row>
    <row r="46" spans="1:13" s="101" customFormat="1" ht="123.75">
      <c r="A46" s="781"/>
      <c r="B46" s="782" t="s">
        <v>3974</v>
      </c>
      <c r="C46" s="792"/>
      <c r="D46" s="145"/>
      <c r="E46" s="146"/>
      <c r="F46" s="148"/>
      <c r="G46" s="78"/>
      <c r="H46" s="94"/>
      <c r="I46" s="94"/>
      <c r="J46" s="94"/>
      <c r="K46" s="94"/>
      <c r="L46" s="94"/>
      <c r="M46" s="94"/>
    </row>
    <row r="47" spans="1:13" ht="12.75">
      <c r="A47" s="781"/>
      <c r="B47" s="786"/>
      <c r="C47" s="763" t="s">
        <v>3967</v>
      </c>
      <c r="D47" s="765">
        <v>2</v>
      </c>
      <c r="E47" s="143"/>
      <c r="F47" s="769">
        <f>D47*E47</f>
        <v>0</v>
      </c>
    </row>
    <row r="48" spans="1:13" s="88" customFormat="1" ht="12.75">
      <c r="A48" s="793"/>
      <c r="B48" s="787"/>
      <c r="C48" s="778"/>
      <c r="D48" s="779"/>
      <c r="E48" s="839"/>
      <c r="F48" s="794"/>
    </row>
    <row r="49" spans="1:6" s="88" customFormat="1" ht="12.75">
      <c r="A49" s="760" t="s">
        <v>3975</v>
      </c>
      <c r="B49" s="777" t="s">
        <v>3976</v>
      </c>
      <c r="C49" s="778"/>
      <c r="D49" s="779"/>
      <c r="E49" s="838"/>
      <c r="F49" s="795"/>
    </row>
    <row r="50" spans="1:6" ht="22.5">
      <c r="A50" s="796"/>
      <c r="B50" s="797" t="s">
        <v>3977</v>
      </c>
      <c r="C50" s="798"/>
      <c r="D50" s="799"/>
      <c r="E50" s="842"/>
      <c r="F50" s="800"/>
    </row>
    <row r="51" spans="1:6" ht="12" customHeight="1">
      <c r="A51" s="796"/>
      <c r="B51" s="797" t="s">
        <v>3978</v>
      </c>
      <c r="C51" s="798"/>
      <c r="D51" s="799"/>
      <c r="E51" s="842"/>
      <c r="F51" s="800"/>
    </row>
    <row r="52" spans="1:6" ht="67.5">
      <c r="A52" s="796"/>
      <c r="B52" s="797" t="s">
        <v>3979</v>
      </c>
      <c r="C52" s="798"/>
      <c r="D52" s="799"/>
      <c r="E52" s="842"/>
      <c r="F52" s="800"/>
    </row>
    <row r="53" spans="1:6" ht="56.25">
      <c r="A53" s="801"/>
      <c r="B53" s="750" t="s">
        <v>3980</v>
      </c>
      <c r="C53" s="802"/>
      <c r="D53" s="803"/>
      <c r="E53" s="149"/>
      <c r="F53" s="804"/>
    </row>
    <row r="54" spans="1:6" ht="67.5">
      <c r="A54" s="801"/>
      <c r="B54" s="750" t="s">
        <v>3981</v>
      </c>
      <c r="C54" s="802"/>
      <c r="D54" s="803"/>
      <c r="E54" s="149"/>
      <c r="F54" s="804"/>
    </row>
    <row r="55" spans="1:6" ht="12.75">
      <c r="A55" s="760"/>
      <c r="B55" s="797" t="s">
        <v>3982</v>
      </c>
      <c r="C55" s="802"/>
      <c r="D55" s="803"/>
      <c r="E55" s="843"/>
      <c r="F55" s="805"/>
    </row>
    <row r="56" spans="1:6" ht="12.75">
      <c r="A56" s="806"/>
      <c r="B56" s="763" t="s">
        <v>3983</v>
      </c>
      <c r="C56" s="802"/>
      <c r="D56" s="803"/>
      <c r="E56" s="149"/>
      <c r="F56" s="804"/>
    </row>
    <row r="57" spans="1:6" s="88" customFormat="1" ht="22.5">
      <c r="A57" s="793"/>
      <c r="B57" s="807" t="s">
        <v>3984</v>
      </c>
      <c r="C57" s="808" t="s">
        <v>3967</v>
      </c>
      <c r="D57" s="765">
        <v>1</v>
      </c>
      <c r="E57" s="143"/>
      <c r="F57" s="769">
        <f>D57*E57</f>
        <v>0</v>
      </c>
    </row>
    <row r="58" spans="1:6" ht="12.75">
      <c r="A58" s="793" t="s">
        <v>3985</v>
      </c>
      <c r="B58" s="809"/>
      <c r="C58" s="778"/>
      <c r="D58" s="789"/>
      <c r="E58" s="844"/>
      <c r="F58" s="810"/>
    </row>
    <row r="59" spans="1:6" ht="12.75">
      <c r="A59" s="793" t="s">
        <v>3986</v>
      </c>
      <c r="B59" s="777" t="s">
        <v>3987</v>
      </c>
      <c r="C59" s="778"/>
      <c r="D59" s="789"/>
      <c r="E59" s="841"/>
      <c r="F59" s="811"/>
    </row>
    <row r="60" spans="1:6" ht="112.5">
      <c r="A60" s="793"/>
      <c r="B60" s="812" t="s">
        <v>3988</v>
      </c>
      <c r="C60" s="813" t="s">
        <v>1184</v>
      </c>
      <c r="D60" s="814">
        <v>104</v>
      </c>
      <c r="E60" s="150"/>
      <c r="F60" s="815">
        <f>D60*E60</f>
        <v>0</v>
      </c>
    </row>
    <row r="61" spans="1:6" ht="13.5" thickBot="1">
      <c r="A61" s="816"/>
      <c r="B61" s="816"/>
      <c r="C61" s="817"/>
      <c r="D61" s="818"/>
      <c r="E61" s="845"/>
      <c r="F61" s="818"/>
    </row>
    <row r="62" spans="1:6" ht="13.5" thickBot="1">
      <c r="A62" s="819" t="s">
        <v>977</v>
      </c>
      <c r="B62" s="820" t="s">
        <v>3931</v>
      </c>
      <c r="C62" s="821"/>
      <c r="D62" s="821" t="s">
        <v>3989</v>
      </c>
      <c r="E62" s="846"/>
      <c r="F62" s="823">
        <f>SUM(F6:F61)</f>
        <v>0</v>
      </c>
    </row>
    <row r="63" spans="1:6" ht="15.75">
      <c r="A63" s="824"/>
      <c r="B63" s="825"/>
      <c r="C63" s="84"/>
      <c r="D63" s="132"/>
      <c r="E63" s="836"/>
      <c r="F63" s="826"/>
    </row>
    <row r="64" spans="1:6" ht="15.75">
      <c r="A64" s="131"/>
      <c r="B64" s="827"/>
      <c r="C64" s="828"/>
      <c r="D64" s="132"/>
      <c r="E64" s="847"/>
      <c r="F64" s="826"/>
    </row>
    <row r="65" spans="1:6" ht="15.75">
      <c r="A65" s="824"/>
      <c r="B65" s="112"/>
      <c r="C65" s="84"/>
      <c r="D65" s="132"/>
      <c r="E65" s="133"/>
      <c r="F65" s="826"/>
    </row>
    <row r="66" spans="1:6" ht="15.75">
      <c r="A66" s="824"/>
      <c r="B66" s="825"/>
      <c r="C66" s="84"/>
      <c r="D66" s="132"/>
      <c r="E66" s="133"/>
      <c r="F66" s="826"/>
    </row>
    <row r="67" spans="1:6" ht="15.75">
      <c r="A67" s="131"/>
      <c r="B67" s="829"/>
      <c r="C67" s="94"/>
      <c r="D67" s="132"/>
      <c r="E67" s="133"/>
      <c r="F67" s="826"/>
    </row>
    <row r="68" spans="1:6" ht="15.75">
      <c r="A68" s="824"/>
      <c r="B68" s="112"/>
      <c r="C68" s="84"/>
      <c r="D68" s="132"/>
      <c r="E68" s="133"/>
      <c r="F68" s="826"/>
    </row>
    <row r="69" spans="1:6" ht="15.75">
      <c r="A69" s="830"/>
      <c r="B69" s="135"/>
      <c r="C69" s="94"/>
      <c r="D69" s="132"/>
      <c r="E69" s="133"/>
      <c r="F69" s="826"/>
    </row>
    <row r="70" spans="1:6" ht="15.75">
      <c r="A70" s="131"/>
      <c r="B70" s="827"/>
      <c r="C70" s="828"/>
      <c r="D70" s="132"/>
      <c r="E70" s="133"/>
      <c r="F70" s="826"/>
    </row>
    <row r="71" spans="1:6" ht="15.75">
      <c r="A71" s="824"/>
      <c r="B71" s="112"/>
      <c r="C71" s="84"/>
      <c r="D71" s="132"/>
      <c r="E71" s="133"/>
      <c r="F71" s="826"/>
    </row>
    <row r="72" spans="1:6" ht="15.75">
      <c r="A72" s="131"/>
      <c r="B72" s="135"/>
      <c r="C72" s="136"/>
      <c r="D72" s="132"/>
      <c r="E72" s="133"/>
      <c r="F72" s="831"/>
    </row>
    <row r="73" spans="1:6" ht="15.75">
      <c r="A73" s="131"/>
      <c r="B73" s="829"/>
      <c r="C73" s="94"/>
      <c r="D73" s="132"/>
      <c r="E73" s="133"/>
      <c r="F73" s="826"/>
    </row>
    <row r="74" spans="1:6" ht="15.75">
      <c r="A74" s="824"/>
      <c r="B74" s="112"/>
      <c r="C74" s="84"/>
      <c r="D74" s="132"/>
      <c r="E74" s="133"/>
      <c r="F74" s="826"/>
    </row>
    <row r="75" spans="1:6" ht="15.75">
      <c r="A75" s="830"/>
      <c r="B75" s="135"/>
      <c r="C75" s="94"/>
      <c r="D75" s="132"/>
      <c r="E75" s="133"/>
      <c r="F75" s="826"/>
    </row>
    <row r="76" spans="1:6" ht="15.75">
      <c r="A76" s="131"/>
      <c r="B76" s="827"/>
      <c r="C76" s="828"/>
      <c r="D76" s="132"/>
      <c r="E76" s="133"/>
      <c r="F76" s="826"/>
    </row>
    <row r="77" spans="1:6" ht="15.75">
      <c r="A77" s="824"/>
      <c r="B77" s="112"/>
      <c r="C77" s="84"/>
      <c r="D77" s="132"/>
      <c r="E77" s="133"/>
      <c r="F77" s="826"/>
    </row>
    <row r="78" spans="1:6" ht="15.75">
      <c r="A78" s="824"/>
      <c r="B78" s="825"/>
      <c r="C78" s="84"/>
      <c r="D78" s="132"/>
      <c r="E78" s="133"/>
      <c r="F78" s="826"/>
    </row>
    <row r="79" spans="1:6" ht="15.75">
      <c r="A79" s="131"/>
      <c r="B79" s="829"/>
      <c r="C79" s="84"/>
      <c r="D79" s="132"/>
      <c r="E79" s="133"/>
      <c r="F79" s="826"/>
    </row>
    <row r="80" spans="1:6" ht="15.75">
      <c r="A80" s="824"/>
      <c r="B80" s="112"/>
      <c r="C80" s="84"/>
      <c r="D80" s="132"/>
      <c r="E80" s="133"/>
      <c r="F80" s="826"/>
    </row>
    <row r="81" spans="1:6" ht="15.75">
      <c r="A81" s="131"/>
      <c r="B81" s="135"/>
      <c r="C81" s="136"/>
      <c r="D81" s="132"/>
      <c r="E81" s="133"/>
      <c r="F81" s="831"/>
    </row>
    <row r="82" spans="1:6" ht="15.75">
      <c r="A82" s="131"/>
      <c r="B82" s="829"/>
      <c r="C82" s="94"/>
      <c r="D82" s="132"/>
      <c r="E82" s="133"/>
      <c r="F82" s="826"/>
    </row>
    <row r="83" spans="1:6" ht="15.75">
      <c r="A83" s="824"/>
      <c r="B83" s="112"/>
      <c r="C83" s="84"/>
      <c r="D83" s="132"/>
      <c r="E83" s="133"/>
      <c r="F83" s="826"/>
    </row>
    <row r="84" spans="1:6" ht="15.75">
      <c r="A84" s="830"/>
      <c r="B84" s="135"/>
      <c r="C84" s="94"/>
      <c r="D84" s="132"/>
      <c r="E84" s="133"/>
      <c r="F84" s="826"/>
    </row>
    <row r="85" spans="1:6" ht="15.75">
      <c r="A85" s="131"/>
      <c r="B85" s="827"/>
      <c r="C85" s="828"/>
      <c r="D85" s="132"/>
      <c r="E85" s="133"/>
      <c r="F85" s="826"/>
    </row>
    <row r="86" spans="1:6" ht="15.75">
      <c r="A86" s="824"/>
      <c r="B86" s="112"/>
      <c r="C86" s="84"/>
      <c r="D86" s="132"/>
      <c r="E86" s="133"/>
      <c r="F86" s="826"/>
    </row>
    <row r="87" spans="1:6" ht="15.75">
      <c r="A87" s="131"/>
      <c r="B87" s="135"/>
      <c r="C87" s="136"/>
      <c r="D87" s="132"/>
      <c r="E87" s="133"/>
      <c r="F87" s="831"/>
    </row>
    <row r="88" spans="1:6" ht="15.75">
      <c r="A88" s="131"/>
      <c r="B88" s="829"/>
      <c r="C88" s="94"/>
      <c r="D88" s="132"/>
      <c r="E88" s="133"/>
      <c r="F88" s="826"/>
    </row>
    <row r="89" spans="1:6" ht="15.75">
      <c r="A89" s="830"/>
      <c r="B89" s="135"/>
      <c r="C89" s="94"/>
      <c r="D89" s="132"/>
      <c r="E89" s="133"/>
      <c r="F89" s="826"/>
    </row>
    <row r="90" spans="1:6" ht="15.75">
      <c r="A90" s="131"/>
      <c r="B90" s="827"/>
      <c r="C90" s="828"/>
      <c r="D90" s="132"/>
      <c r="E90" s="133"/>
      <c r="F90" s="826"/>
    </row>
    <row r="91" spans="1:6" ht="15.75">
      <c r="A91" s="134"/>
      <c r="B91" s="135"/>
      <c r="C91" s="136"/>
      <c r="D91" s="137"/>
      <c r="E91" s="138"/>
      <c r="F91" s="831"/>
    </row>
    <row r="92" spans="1:6" ht="15.75">
      <c r="A92" s="134"/>
      <c r="B92" s="137"/>
      <c r="C92" s="136"/>
      <c r="D92" s="137"/>
      <c r="E92" s="140"/>
      <c r="F92" s="831"/>
    </row>
    <row r="93" spans="1:6">
      <c r="A93" s="88"/>
      <c r="B93" s="88"/>
      <c r="C93" s="88"/>
      <c r="D93" s="88"/>
      <c r="E93" s="88"/>
      <c r="F93" s="141"/>
    </row>
    <row r="94" spans="1:6">
      <c r="A94" s="88"/>
      <c r="B94" s="88"/>
      <c r="C94" s="88"/>
      <c r="D94" s="88"/>
      <c r="E94" s="88"/>
      <c r="F94" s="141"/>
    </row>
    <row r="95" spans="1:6">
      <c r="A95" s="88"/>
      <c r="B95" s="88"/>
      <c r="C95" s="88"/>
      <c r="D95" s="88"/>
      <c r="E95" s="88"/>
      <c r="F95" s="141"/>
    </row>
    <row r="96" spans="1:6">
      <c r="A96" s="88"/>
      <c r="B96" s="88"/>
      <c r="C96" s="88"/>
      <c r="D96" s="88"/>
      <c r="E96" s="88"/>
      <c r="F96" s="141"/>
    </row>
    <row r="97" spans="1:6">
      <c r="A97" s="88"/>
      <c r="B97" s="88"/>
      <c r="C97" s="88"/>
      <c r="D97" s="88"/>
      <c r="E97" s="88"/>
      <c r="F97" s="141"/>
    </row>
    <row r="98" spans="1:6">
      <c r="A98" s="88"/>
      <c r="B98" s="88"/>
      <c r="C98" s="88"/>
      <c r="D98" s="88"/>
      <c r="E98" s="88"/>
      <c r="F98" s="141"/>
    </row>
    <row r="99" spans="1:6">
      <c r="A99" s="88"/>
      <c r="B99" s="88"/>
      <c r="C99" s="88"/>
      <c r="D99" s="88"/>
      <c r="E99" s="88"/>
      <c r="F99" s="141"/>
    </row>
    <row r="100" spans="1:6">
      <c r="A100" s="88"/>
      <c r="B100" s="88"/>
      <c r="C100" s="88"/>
      <c r="D100" s="88"/>
      <c r="E100" s="88"/>
      <c r="F100" s="141"/>
    </row>
    <row r="101" spans="1:6">
      <c r="A101" s="88"/>
      <c r="B101" s="88"/>
      <c r="C101" s="88"/>
      <c r="D101" s="88"/>
      <c r="E101" s="88"/>
      <c r="F101" s="141"/>
    </row>
    <row r="102" spans="1:6">
      <c r="A102" s="88"/>
      <c r="B102" s="88"/>
      <c r="C102" s="88"/>
      <c r="D102" s="88"/>
      <c r="E102" s="88"/>
      <c r="F102" s="141"/>
    </row>
    <row r="103" spans="1:6">
      <c r="A103" s="88"/>
      <c r="B103" s="88"/>
      <c r="C103" s="88"/>
      <c r="D103" s="88"/>
      <c r="E103" s="88"/>
      <c r="F103" s="141"/>
    </row>
    <row r="104" spans="1:6">
      <c r="A104" s="88"/>
      <c r="B104" s="88"/>
      <c r="C104" s="88"/>
      <c r="D104" s="88"/>
      <c r="E104" s="88"/>
      <c r="F104" s="141"/>
    </row>
    <row r="105" spans="1:6">
      <c r="A105" s="88"/>
      <c r="B105" s="88"/>
      <c r="C105" s="88"/>
      <c r="D105" s="88"/>
      <c r="E105" s="88"/>
      <c r="F105" s="141"/>
    </row>
    <row r="106" spans="1:6">
      <c r="A106" s="88"/>
      <c r="B106" s="88"/>
      <c r="C106" s="88"/>
      <c r="D106" s="88"/>
      <c r="E106" s="88"/>
      <c r="F106" s="141"/>
    </row>
    <row r="107" spans="1:6">
      <c r="A107" s="88"/>
      <c r="B107" s="88"/>
      <c r="C107" s="88"/>
      <c r="D107" s="88"/>
      <c r="E107" s="88"/>
      <c r="F107" s="141"/>
    </row>
    <row r="108" spans="1:6">
      <c r="A108" s="88"/>
      <c r="B108" s="88"/>
      <c r="C108" s="88"/>
      <c r="D108" s="88"/>
      <c r="E108" s="88"/>
      <c r="F108" s="141"/>
    </row>
    <row r="109" spans="1:6">
      <c r="A109" s="88"/>
      <c r="B109" s="88"/>
      <c r="C109" s="88"/>
      <c r="D109" s="88"/>
      <c r="E109" s="88"/>
      <c r="F109" s="141"/>
    </row>
    <row r="110" spans="1:6">
      <c r="A110" s="88"/>
      <c r="B110" s="88"/>
      <c r="C110" s="88"/>
      <c r="D110" s="88"/>
      <c r="E110" s="88"/>
      <c r="F110" s="141"/>
    </row>
    <row r="111" spans="1:6">
      <c r="A111" s="88"/>
      <c r="B111" s="88"/>
      <c r="C111" s="88"/>
      <c r="D111" s="88"/>
      <c r="E111" s="88"/>
      <c r="F111" s="141"/>
    </row>
  </sheetData>
  <sheetProtection algorithmName="SHA-512" hashValue="C0yg1VcMbUS1SKHaksmuiaSM9SiuknpVVaxFZVO7x08ZsZGLMX67dDlzHIRbZCoIQRHu1HS2UON/GDFWiE+Qxw==" saltValue="jTr1QP7p+Tfv4DVP1tEkaw==" spinCount="100000" sheet="1" objects="1" scenarios="1"/>
  <protectedRanges>
    <protectedRange sqref="E44:F44 E46:F46" name="Range1_5"/>
    <protectedRange sqref="E41:F42" name="Range1_51"/>
    <protectedRange sqref="E48:F48" name="Range1_51_1_1"/>
    <protectedRange sqref="E60:F60" name="Range1_36"/>
    <protectedRange sqref="E58:F58" name="Range1_7"/>
  </protectedRanges>
  <mergeCells count="2">
    <mergeCell ref="B1:F1"/>
    <mergeCell ref="A2:F2"/>
  </mergeCells>
  <printOptions horizontalCentered="1" gridLinesSet="0"/>
  <pageMargins left="0.59055118110236227" right="0.19685039370078741" top="0.39370078740157483" bottom="0.39370078740157483" header="0.47244094488188981" footer="0.51181102362204722"/>
  <pageSetup paperSize="9" scale="95" orientation="portrait" r:id="rId1"/>
  <headerFooter alignWithMargins="0"/>
  <rowBreaks count="3" manualBreakCount="3">
    <brk id="28" max="5" man="1"/>
    <brk id="47" max="5" man="1"/>
    <brk id="63"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L187"/>
  <sheetViews>
    <sheetView showGridLines="0" showZeros="0" topLeftCell="A28" zoomScaleNormal="100" zoomScaleSheetLayoutView="115" workbookViewId="0">
      <selection activeCell="D32" sqref="D32"/>
    </sheetView>
  </sheetViews>
  <sheetFormatPr defaultRowHeight="15"/>
  <cols>
    <col min="1" max="1" width="7.7109375" style="78" customWidth="1"/>
    <col min="2" max="2" width="50.7109375" style="78" customWidth="1"/>
    <col min="3" max="3" width="9" style="78" customWidth="1"/>
    <col min="4" max="4" width="8.7109375" style="78" customWidth="1"/>
    <col min="5" max="5" width="7.85546875" style="78" customWidth="1"/>
    <col min="6" max="6" width="10.7109375" style="142" customWidth="1"/>
    <col min="7" max="256" width="9.140625" style="78"/>
    <col min="257" max="257" width="7.7109375" style="78" customWidth="1"/>
    <col min="258" max="258" width="50.7109375" style="78" customWidth="1"/>
    <col min="259" max="259" width="9" style="78" customWidth="1"/>
    <col min="260" max="260" width="8.7109375" style="78" customWidth="1"/>
    <col min="261" max="261" width="7.85546875" style="78" customWidth="1"/>
    <col min="262" max="262" width="10.7109375" style="78" customWidth="1"/>
    <col min="263" max="512" width="9.140625" style="78"/>
    <col min="513" max="513" width="7.7109375" style="78" customWidth="1"/>
    <col min="514" max="514" width="50.7109375" style="78" customWidth="1"/>
    <col min="515" max="515" width="9" style="78" customWidth="1"/>
    <col min="516" max="516" width="8.7109375" style="78" customWidth="1"/>
    <col min="517" max="517" width="7.85546875" style="78" customWidth="1"/>
    <col min="518" max="518" width="10.7109375" style="78" customWidth="1"/>
    <col min="519" max="768" width="9.140625" style="78"/>
    <col min="769" max="769" width="7.7109375" style="78" customWidth="1"/>
    <col min="770" max="770" width="50.7109375" style="78" customWidth="1"/>
    <col min="771" max="771" width="9" style="78" customWidth="1"/>
    <col min="772" max="772" width="8.7109375" style="78" customWidth="1"/>
    <col min="773" max="773" width="7.85546875" style="78" customWidth="1"/>
    <col min="774" max="774" width="10.7109375" style="78" customWidth="1"/>
    <col min="775" max="1024" width="9.140625" style="78"/>
    <col min="1025" max="1025" width="7.7109375" style="78" customWidth="1"/>
    <col min="1026" max="1026" width="50.7109375" style="78" customWidth="1"/>
    <col min="1027" max="1027" width="9" style="78" customWidth="1"/>
    <col min="1028" max="1028" width="8.7109375" style="78" customWidth="1"/>
    <col min="1029" max="1029" width="7.85546875" style="78" customWidth="1"/>
    <col min="1030" max="1030" width="10.7109375" style="78" customWidth="1"/>
    <col min="1031" max="1280" width="9.140625" style="78"/>
    <col min="1281" max="1281" width="7.7109375" style="78" customWidth="1"/>
    <col min="1282" max="1282" width="50.7109375" style="78" customWidth="1"/>
    <col min="1283" max="1283" width="9" style="78" customWidth="1"/>
    <col min="1284" max="1284" width="8.7109375" style="78" customWidth="1"/>
    <col min="1285" max="1285" width="7.85546875" style="78" customWidth="1"/>
    <col min="1286" max="1286" width="10.7109375" style="78" customWidth="1"/>
    <col min="1287" max="1536" width="9.140625" style="78"/>
    <col min="1537" max="1537" width="7.7109375" style="78" customWidth="1"/>
    <col min="1538" max="1538" width="50.7109375" style="78" customWidth="1"/>
    <col min="1539" max="1539" width="9" style="78" customWidth="1"/>
    <col min="1540" max="1540" width="8.7109375" style="78" customWidth="1"/>
    <col min="1541" max="1541" width="7.85546875" style="78" customWidth="1"/>
    <col min="1542" max="1542" width="10.7109375" style="78" customWidth="1"/>
    <col min="1543" max="1792" width="9.140625" style="78"/>
    <col min="1793" max="1793" width="7.7109375" style="78" customWidth="1"/>
    <col min="1794" max="1794" width="50.7109375" style="78" customWidth="1"/>
    <col min="1795" max="1795" width="9" style="78" customWidth="1"/>
    <col min="1796" max="1796" width="8.7109375" style="78" customWidth="1"/>
    <col min="1797" max="1797" width="7.85546875" style="78" customWidth="1"/>
    <col min="1798" max="1798" width="10.7109375" style="78" customWidth="1"/>
    <col min="1799" max="2048" width="9.140625" style="78"/>
    <col min="2049" max="2049" width="7.7109375" style="78" customWidth="1"/>
    <col min="2050" max="2050" width="50.7109375" style="78" customWidth="1"/>
    <col min="2051" max="2051" width="9" style="78" customWidth="1"/>
    <col min="2052" max="2052" width="8.7109375" style="78" customWidth="1"/>
    <col min="2053" max="2053" width="7.85546875" style="78" customWidth="1"/>
    <col min="2054" max="2054" width="10.7109375" style="78" customWidth="1"/>
    <col min="2055" max="2304" width="9.140625" style="78"/>
    <col min="2305" max="2305" width="7.7109375" style="78" customWidth="1"/>
    <col min="2306" max="2306" width="50.7109375" style="78" customWidth="1"/>
    <col min="2307" max="2307" width="9" style="78" customWidth="1"/>
    <col min="2308" max="2308" width="8.7109375" style="78" customWidth="1"/>
    <col min="2309" max="2309" width="7.85546875" style="78" customWidth="1"/>
    <col min="2310" max="2310" width="10.7109375" style="78" customWidth="1"/>
    <col min="2311" max="2560" width="9.140625" style="78"/>
    <col min="2561" max="2561" width="7.7109375" style="78" customWidth="1"/>
    <col min="2562" max="2562" width="50.7109375" style="78" customWidth="1"/>
    <col min="2563" max="2563" width="9" style="78" customWidth="1"/>
    <col min="2564" max="2564" width="8.7109375" style="78" customWidth="1"/>
    <col min="2565" max="2565" width="7.85546875" style="78" customWidth="1"/>
    <col min="2566" max="2566" width="10.7109375" style="78" customWidth="1"/>
    <col min="2567" max="2816" width="9.140625" style="78"/>
    <col min="2817" max="2817" width="7.7109375" style="78" customWidth="1"/>
    <col min="2818" max="2818" width="50.7109375" style="78" customWidth="1"/>
    <col min="2819" max="2819" width="9" style="78" customWidth="1"/>
    <col min="2820" max="2820" width="8.7109375" style="78" customWidth="1"/>
    <col min="2821" max="2821" width="7.85546875" style="78" customWidth="1"/>
    <col min="2822" max="2822" width="10.7109375" style="78" customWidth="1"/>
    <col min="2823" max="3072" width="9.140625" style="78"/>
    <col min="3073" max="3073" width="7.7109375" style="78" customWidth="1"/>
    <col min="3074" max="3074" width="50.7109375" style="78" customWidth="1"/>
    <col min="3075" max="3075" width="9" style="78" customWidth="1"/>
    <col min="3076" max="3076" width="8.7109375" style="78" customWidth="1"/>
    <col min="3077" max="3077" width="7.85546875" style="78" customWidth="1"/>
    <col min="3078" max="3078" width="10.7109375" style="78" customWidth="1"/>
    <col min="3079" max="3328" width="9.140625" style="78"/>
    <col min="3329" max="3329" width="7.7109375" style="78" customWidth="1"/>
    <col min="3330" max="3330" width="50.7109375" style="78" customWidth="1"/>
    <col min="3331" max="3331" width="9" style="78" customWidth="1"/>
    <col min="3332" max="3332" width="8.7109375" style="78" customWidth="1"/>
    <col min="3333" max="3333" width="7.85546875" style="78" customWidth="1"/>
    <col min="3334" max="3334" width="10.7109375" style="78" customWidth="1"/>
    <col min="3335" max="3584" width="9.140625" style="78"/>
    <col min="3585" max="3585" width="7.7109375" style="78" customWidth="1"/>
    <col min="3586" max="3586" width="50.7109375" style="78" customWidth="1"/>
    <col min="3587" max="3587" width="9" style="78" customWidth="1"/>
    <col min="3588" max="3588" width="8.7109375" style="78" customWidth="1"/>
    <col min="3589" max="3589" width="7.85546875" style="78" customWidth="1"/>
    <col min="3590" max="3590" width="10.7109375" style="78" customWidth="1"/>
    <col min="3591" max="3840" width="9.140625" style="78"/>
    <col min="3841" max="3841" width="7.7109375" style="78" customWidth="1"/>
    <col min="3842" max="3842" width="50.7109375" style="78" customWidth="1"/>
    <col min="3843" max="3843" width="9" style="78" customWidth="1"/>
    <col min="3844" max="3844" width="8.7109375" style="78" customWidth="1"/>
    <col min="3845" max="3845" width="7.85546875" style="78" customWidth="1"/>
    <col min="3846" max="3846" width="10.7109375" style="78" customWidth="1"/>
    <col min="3847" max="4096" width="9.140625" style="78"/>
    <col min="4097" max="4097" width="7.7109375" style="78" customWidth="1"/>
    <col min="4098" max="4098" width="50.7109375" style="78" customWidth="1"/>
    <col min="4099" max="4099" width="9" style="78" customWidth="1"/>
    <col min="4100" max="4100" width="8.7109375" style="78" customWidth="1"/>
    <col min="4101" max="4101" width="7.85546875" style="78" customWidth="1"/>
    <col min="4102" max="4102" width="10.7109375" style="78" customWidth="1"/>
    <col min="4103" max="4352" width="9.140625" style="78"/>
    <col min="4353" max="4353" width="7.7109375" style="78" customWidth="1"/>
    <col min="4354" max="4354" width="50.7109375" style="78" customWidth="1"/>
    <col min="4355" max="4355" width="9" style="78" customWidth="1"/>
    <col min="4356" max="4356" width="8.7109375" style="78" customWidth="1"/>
    <col min="4357" max="4357" width="7.85546875" style="78" customWidth="1"/>
    <col min="4358" max="4358" width="10.7109375" style="78" customWidth="1"/>
    <col min="4359" max="4608" width="9.140625" style="78"/>
    <col min="4609" max="4609" width="7.7109375" style="78" customWidth="1"/>
    <col min="4610" max="4610" width="50.7109375" style="78" customWidth="1"/>
    <col min="4611" max="4611" width="9" style="78" customWidth="1"/>
    <col min="4612" max="4612" width="8.7109375" style="78" customWidth="1"/>
    <col min="4613" max="4613" width="7.85546875" style="78" customWidth="1"/>
    <col min="4614" max="4614" width="10.7109375" style="78" customWidth="1"/>
    <col min="4615" max="4864" width="9.140625" style="78"/>
    <col min="4865" max="4865" width="7.7109375" style="78" customWidth="1"/>
    <col min="4866" max="4866" width="50.7109375" style="78" customWidth="1"/>
    <col min="4867" max="4867" width="9" style="78" customWidth="1"/>
    <col min="4868" max="4868" width="8.7109375" style="78" customWidth="1"/>
    <col min="4869" max="4869" width="7.85546875" style="78" customWidth="1"/>
    <col min="4870" max="4870" width="10.7109375" style="78" customWidth="1"/>
    <col min="4871" max="5120" width="9.140625" style="78"/>
    <col min="5121" max="5121" width="7.7109375" style="78" customWidth="1"/>
    <col min="5122" max="5122" width="50.7109375" style="78" customWidth="1"/>
    <col min="5123" max="5123" width="9" style="78" customWidth="1"/>
    <col min="5124" max="5124" width="8.7109375" style="78" customWidth="1"/>
    <col min="5125" max="5125" width="7.85546875" style="78" customWidth="1"/>
    <col min="5126" max="5126" width="10.7109375" style="78" customWidth="1"/>
    <col min="5127" max="5376" width="9.140625" style="78"/>
    <col min="5377" max="5377" width="7.7109375" style="78" customWidth="1"/>
    <col min="5378" max="5378" width="50.7109375" style="78" customWidth="1"/>
    <col min="5379" max="5379" width="9" style="78" customWidth="1"/>
    <col min="5380" max="5380" width="8.7109375" style="78" customWidth="1"/>
    <col min="5381" max="5381" width="7.85546875" style="78" customWidth="1"/>
    <col min="5382" max="5382" width="10.7109375" style="78" customWidth="1"/>
    <col min="5383" max="5632" width="9.140625" style="78"/>
    <col min="5633" max="5633" width="7.7109375" style="78" customWidth="1"/>
    <col min="5634" max="5634" width="50.7109375" style="78" customWidth="1"/>
    <col min="5635" max="5635" width="9" style="78" customWidth="1"/>
    <col min="5636" max="5636" width="8.7109375" style="78" customWidth="1"/>
    <col min="5637" max="5637" width="7.85546875" style="78" customWidth="1"/>
    <col min="5638" max="5638" width="10.7109375" style="78" customWidth="1"/>
    <col min="5639" max="5888" width="9.140625" style="78"/>
    <col min="5889" max="5889" width="7.7109375" style="78" customWidth="1"/>
    <col min="5890" max="5890" width="50.7109375" style="78" customWidth="1"/>
    <col min="5891" max="5891" width="9" style="78" customWidth="1"/>
    <col min="5892" max="5892" width="8.7109375" style="78" customWidth="1"/>
    <col min="5893" max="5893" width="7.85546875" style="78" customWidth="1"/>
    <col min="5894" max="5894" width="10.7109375" style="78" customWidth="1"/>
    <col min="5895" max="6144" width="9.140625" style="78"/>
    <col min="6145" max="6145" width="7.7109375" style="78" customWidth="1"/>
    <col min="6146" max="6146" width="50.7109375" style="78" customWidth="1"/>
    <col min="6147" max="6147" width="9" style="78" customWidth="1"/>
    <col min="6148" max="6148" width="8.7109375" style="78" customWidth="1"/>
    <col min="6149" max="6149" width="7.85546875" style="78" customWidth="1"/>
    <col min="6150" max="6150" width="10.7109375" style="78" customWidth="1"/>
    <col min="6151" max="6400" width="9.140625" style="78"/>
    <col min="6401" max="6401" width="7.7109375" style="78" customWidth="1"/>
    <col min="6402" max="6402" width="50.7109375" style="78" customWidth="1"/>
    <col min="6403" max="6403" width="9" style="78" customWidth="1"/>
    <col min="6404" max="6404" width="8.7109375" style="78" customWidth="1"/>
    <col min="6405" max="6405" width="7.85546875" style="78" customWidth="1"/>
    <col min="6406" max="6406" width="10.7109375" style="78" customWidth="1"/>
    <col min="6407" max="6656" width="9.140625" style="78"/>
    <col min="6657" max="6657" width="7.7109375" style="78" customWidth="1"/>
    <col min="6658" max="6658" width="50.7109375" style="78" customWidth="1"/>
    <col min="6659" max="6659" width="9" style="78" customWidth="1"/>
    <col min="6660" max="6660" width="8.7109375" style="78" customWidth="1"/>
    <col min="6661" max="6661" width="7.85546875" style="78" customWidth="1"/>
    <col min="6662" max="6662" width="10.7109375" style="78" customWidth="1"/>
    <col min="6663" max="6912" width="9.140625" style="78"/>
    <col min="6913" max="6913" width="7.7109375" style="78" customWidth="1"/>
    <col min="6914" max="6914" width="50.7109375" style="78" customWidth="1"/>
    <col min="6915" max="6915" width="9" style="78" customWidth="1"/>
    <col min="6916" max="6916" width="8.7109375" style="78" customWidth="1"/>
    <col min="6917" max="6917" width="7.85546875" style="78" customWidth="1"/>
    <col min="6918" max="6918" width="10.7109375" style="78" customWidth="1"/>
    <col min="6919" max="7168" width="9.140625" style="78"/>
    <col min="7169" max="7169" width="7.7109375" style="78" customWidth="1"/>
    <col min="7170" max="7170" width="50.7109375" style="78" customWidth="1"/>
    <col min="7171" max="7171" width="9" style="78" customWidth="1"/>
    <col min="7172" max="7172" width="8.7109375" style="78" customWidth="1"/>
    <col min="7173" max="7173" width="7.85546875" style="78" customWidth="1"/>
    <col min="7174" max="7174" width="10.7109375" style="78" customWidth="1"/>
    <col min="7175" max="7424" width="9.140625" style="78"/>
    <col min="7425" max="7425" width="7.7109375" style="78" customWidth="1"/>
    <col min="7426" max="7426" width="50.7109375" style="78" customWidth="1"/>
    <col min="7427" max="7427" width="9" style="78" customWidth="1"/>
    <col min="7428" max="7428" width="8.7109375" style="78" customWidth="1"/>
    <col min="7429" max="7429" width="7.85546875" style="78" customWidth="1"/>
    <col min="7430" max="7430" width="10.7109375" style="78" customWidth="1"/>
    <col min="7431" max="7680" width="9.140625" style="78"/>
    <col min="7681" max="7681" width="7.7109375" style="78" customWidth="1"/>
    <col min="7682" max="7682" width="50.7109375" style="78" customWidth="1"/>
    <col min="7683" max="7683" width="9" style="78" customWidth="1"/>
    <col min="7684" max="7684" width="8.7109375" style="78" customWidth="1"/>
    <col min="7685" max="7685" width="7.85546875" style="78" customWidth="1"/>
    <col min="7686" max="7686" width="10.7109375" style="78" customWidth="1"/>
    <col min="7687" max="7936" width="9.140625" style="78"/>
    <col min="7937" max="7937" width="7.7109375" style="78" customWidth="1"/>
    <col min="7938" max="7938" width="50.7109375" style="78" customWidth="1"/>
    <col min="7939" max="7939" width="9" style="78" customWidth="1"/>
    <col min="7940" max="7940" width="8.7109375" style="78" customWidth="1"/>
    <col min="7941" max="7941" width="7.85546875" style="78" customWidth="1"/>
    <col min="7942" max="7942" width="10.7109375" style="78" customWidth="1"/>
    <col min="7943" max="8192" width="9.140625" style="78"/>
    <col min="8193" max="8193" width="7.7109375" style="78" customWidth="1"/>
    <col min="8194" max="8194" width="50.7109375" style="78" customWidth="1"/>
    <col min="8195" max="8195" width="9" style="78" customWidth="1"/>
    <col min="8196" max="8196" width="8.7109375" style="78" customWidth="1"/>
    <col min="8197" max="8197" width="7.85546875" style="78" customWidth="1"/>
    <col min="8198" max="8198" width="10.7109375" style="78" customWidth="1"/>
    <col min="8199" max="8448" width="9.140625" style="78"/>
    <col min="8449" max="8449" width="7.7109375" style="78" customWidth="1"/>
    <col min="8450" max="8450" width="50.7109375" style="78" customWidth="1"/>
    <col min="8451" max="8451" width="9" style="78" customWidth="1"/>
    <col min="8452" max="8452" width="8.7109375" style="78" customWidth="1"/>
    <col min="8453" max="8453" width="7.85546875" style="78" customWidth="1"/>
    <col min="8454" max="8454" width="10.7109375" style="78" customWidth="1"/>
    <col min="8455" max="8704" width="9.140625" style="78"/>
    <col min="8705" max="8705" width="7.7109375" style="78" customWidth="1"/>
    <col min="8706" max="8706" width="50.7109375" style="78" customWidth="1"/>
    <col min="8707" max="8707" width="9" style="78" customWidth="1"/>
    <col min="8708" max="8708" width="8.7109375" style="78" customWidth="1"/>
    <col min="8709" max="8709" width="7.85546875" style="78" customWidth="1"/>
    <col min="8710" max="8710" width="10.7109375" style="78" customWidth="1"/>
    <col min="8711" max="8960" width="9.140625" style="78"/>
    <col min="8961" max="8961" width="7.7109375" style="78" customWidth="1"/>
    <col min="8962" max="8962" width="50.7109375" style="78" customWidth="1"/>
    <col min="8963" max="8963" width="9" style="78" customWidth="1"/>
    <col min="8964" max="8964" width="8.7109375" style="78" customWidth="1"/>
    <col min="8965" max="8965" width="7.85546875" style="78" customWidth="1"/>
    <col min="8966" max="8966" width="10.7109375" style="78" customWidth="1"/>
    <col min="8967" max="9216" width="9.140625" style="78"/>
    <col min="9217" max="9217" width="7.7109375" style="78" customWidth="1"/>
    <col min="9218" max="9218" width="50.7109375" style="78" customWidth="1"/>
    <col min="9219" max="9219" width="9" style="78" customWidth="1"/>
    <col min="9220" max="9220" width="8.7109375" style="78" customWidth="1"/>
    <col min="9221" max="9221" width="7.85546875" style="78" customWidth="1"/>
    <col min="9222" max="9222" width="10.7109375" style="78" customWidth="1"/>
    <col min="9223" max="9472" width="9.140625" style="78"/>
    <col min="9473" max="9473" width="7.7109375" style="78" customWidth="1"/>
    <col min="9474" max="9474" width="50.7109375" style="78" customWidth="1"/>
    <col min="9475" max="9475" width="9" style="78" customWidth="1"/>
    <col min="9476" max="9476" width="8.7109375" style="78" customWidth="1"/>
    <col min="9477" max="9477" width="7.85546875" style="78" customWidth="1"/>
    <col min="9478" max="9478" width="10.7109375" style="78" customWidth="1"/>
    <col min="9479" max="9728" width="9.140625" style="78"/>
    <col min="9729" max="9729" width="7.7109375" style="78" customWidth="1"/>
    <col min="9730" max="9730" width="50.7109375" style="78" customWidth="1"/>
    <col min="9731" max="9731" width="9" style="78" customWidth="1"/>
    <col min="9732" max="9732" width="8.7109375" style="78" customWidth="1"/>
    <col min="9733" max="9733" width="7.85546875" style="78" customWidth="1"/>
    <col min="9734" max="9734" width="10.7109375" style="78" customWidth="1"/>
    <col min="9735" max="9984" width="9.140625" style="78"/>
    <col min="9985" max="9985" width="7.7109375" style="78" customWidth="1"/>
    <col min="9986" max="9986" width="50.7109375" style="78" customWidth="1"/>
    <col min="9987" max="9987" width="9" style="78" customWidth="1"/>
    <col min="9988" max="9988" width="8.7109375" style="78" customWidth="1"/>
    <col min="9989" max="9989" width="7.85546875" style="78" customWidth="1"/>
    <col min="9990" max="9990" width="10.7109375" style="78" customWidth="1"/>
    <col min="9991" max="10240" width="9.140625" style="78"/>
    <col min="10241" max="10241" width="7.7109375" style="78" customWidth="1"/>
    <col min="10242" max="10242" width="50.7109375" style="78" customWidth="1"/>
    <col min="10243" max="10243" width="9" style="78" customWidth="1"/>
    <col min="10244" max="10244" width="8.7109375" style="78" customWidth="1"/>
    <col min="10245" max="10245" width="7.85546875" style="78" customWidth="1"/>
    <col min="10246" max="10246" width="10.7109375" style="78" customWidth="1"/>
    <col min="10247" max="10496" width="9.140625" style="78"/>
    <col min="10497" max="10497" width="7.7109375" style="78" customWidth="1"/>
    <col min="10498" max="10498" width="50.7109375" style="78" customWidth="1"/>
    <col min="10499" max="10499" width="9" style="78" customWidth="1"/>
    <col min="10500" max="10500" width="8.7109375" style="78" customWidth="1"/>
    <col min="10501" max="10501" width="7.85546875" style="78" customWidth="1"/>
    <col min="10502" max="10502" width="10.7109375" style="78" customWidth="1"/>
    <col min="10503" max="10752" width="9.140625" style="78"/>
    <col min="10753" max="10753" width="7.7109375" style="78" customWidth="1"/>
    <col min="10754" max="10754" width="50.7109375" style="78" customWidth="1"/>
    <col min="10755" max="10755" width="9" style="78" customWidth="1"/>
    <col min="10756" max="10756" width="8.7109375" style="78" customWidth="1"/>
    <col min="10757" max="10757" width="7.85546875" style="78" customWidth="1"/>
    <col min="10758" max="10758" width="10.7109375" style="78" customWidth="1"/>
    <col min="10759" max="11008" width="9.140625" style="78"/>
    <col min="11009" max="11009" width="7.7109375" style="78" customWidth="1"/>
    <col min="11010" max="11010" width="50.7109375" style="78" customWidth="1"/>
    <col min="11011" max="11011" width="9" style="78" customWidth="1"/>
    <col min="11012" max="11012" width="8.7109375" style="78" customWidth="1"/>
    <col min="11013" max="11013" width="7.85546875" style="78" customWidth="1"/>
    <col min="11014" max="11014" width="10.7109375" style="78" customWidth="1"/>
    <col min="11015" max="11264" width="9.140625" style="78"/>
    <col min="11265" max="11265" width="7.7109375" style="78" customWidth="1"/>
    <col min="11266" max="11266" width="50.7109375" style="78" customWidth="1"/>
    <col min="11267" max="11267" width="9" style="78" customWidth="1"/>
    <col min="11268" max="11268" width="8.7109375" style="78" customWidth="1"/>
    <col min="11269" max="11269" width="7.85546875" style="78" customWidth="1"/>
    <col min="11270" max="11270" width="10.7109375" style="78" customWidth="1"/>
    <col min="11271" max="11520" width="9.140625" style="78"/>
    <col min="11521" max="11521" width="7.7109375" style="78" customWidth="1"/>
    <col min="11522" max="11522" width="50.7109375" style="78" customWidth="1"/>
    <col min="11523" max="11523" width="9" style="78" customWidth="1"/>
    <col min="11524" max="11524" width="8.7109375" style="78" customWidth="1"/>
    <col min="11525" max="11525" width="7.85546875" style="78" customWidth="1"/>
    <col min="11526" max="11526" width="10.7109375" style="78" customWidth="1"/>
    <col min="11527" max="11776" width="9.140625" style="78"/>
    <col min="11777" max="11777" width="7.7109375" style="78" customWidth="1"/>
    <col min="11778" max="11778" width="50.7109375" style="78" customWidth="1"/>
    <col min="11779" max="11779" width="9" style="78" customWidth="1"/>
    <col min="11780" max="11780" width="8.7109375" style="78" customWidth="1"/>
    <col min="11781" max="11781" width="7.85546875" style="78" customWidth="1"/>
    <col min="11782" max="11782" width="10.7109375" style="78" customWidth="1"/>
    <col min="11783" max="12032" width="9.140625" style="78"/>
    <col min="12033" max="12033" width="7.7109375" style="78" customWidth="1"/>
    <col min="12034" max="12034" width="50.7109375" style="78" customWidth="1"/>
    <col min="12035" max="12035" width="9" style="78" customWidth="1"/>
    <col min="12036" max="12036" width="8.7109375" style="78" customWidth="1"/>
    <col min="12037" max="12037" width="7.85546875" style="78" customWidth="1"/>
    <col min="12038" max="12038" width="10.7109375" style="78" customWidth="1"/>
    <col min="12039" max="12288" width="9.140625" style="78"/>
    <col min="12289" max="12289" width="7.7109375" style="78" customWidth="1"/>
    <col min="12290" max="12290" width="50.7109375" style="78" customWidth="1"/>
    <col min="12291" max="12291" width="9" style="78" customWidth="1"/>
    <col min="12292" max="12292" width="8.7109375" style="78" customWidth="1"/>
    <col min="12293" max="12293" width="7.85546875" style="78" customWidth="1"/>
    <col min="12294" max="12294" width="10.7109375" style="78" customWidth="1"/>
    <col min="12295" max="12544" width="9.140625" style="78"/>
    <col min="12545" max="12545" width="7.7109375" style="78" customWidth="1"/>
    <col min="12546" max="12546" width="50.7109375" style="78" customWidth="1"/>
    <col min="12547" max="12547" width="9" style="78" customWidth="1"/>
    <col min="12548" max="12548" width="8.7109375" style="78" customWidth="1"/>
    <col min="12549" max="12549" width="7.85546875" style="78" customWidth="1"/>
    <col min="12550" max="12550" width="10.7109375" style="78" customWidth="1"/>
    <col min="12551" max="12800" width="9.140625" style="78"/>
    <col min="12801" max="12801" width="7.7109375" style="78" customWidth="1"/>
    <col min="12802" max="12802" width="50.7109375" style="78" customWidth="1"/>
    <col min="12803" max="12803" width="9" style="78" customWidth="1"/>
    <col min="12804" max="12804" width="8.7109375" style="78" customWidth="1"/>
    <col min="12805" max="12805" width="7.85546875" style="78" customWidth="1"/>
    <col min="12806" max="12806" width="10.7109375" style="78" customWidth="1"/>
    <col min="12807" max="13056" width="9.140625" style="78"/>
    <col min="13057" max="13057" width="7.7109375" style="78" customWidth="1"/>
    <col min="13058" max="13058" width="50.7109375" style="78" customWidth="1"/>
    <col min="13059" max="13059" width="9" style="78" customWidth="1"/>
    <col min="13060" max="13060" width="8.7109375" style="78" customWidth="1"/>
    <col min="13061" max="13061" width="7.85546875" style="78" customWidth="1"/>
    <col min="13062" max="13062" width="10.7109375" style="78" customWidth="1"/>
    <col min="13063" max="13312" width="9.140625" style="78"/>
    <col min="13313" max="13313" width="7.7109375" style="78" customWidth="1"/>
    <col min="13314" max="13314" width="50.7109375" style="78" customWidth="1"/>
    <col min="13315" max="13315" width="9" style="78" customWidth="1"/>
    <col min="13316" max="13316" width="8.7109375" style="78" customWidth="1"/>
    <col min="13317" max="13317" width="7.85546875" style="78" customWidth="1"/>
    <col min="13318" max="13318" width="10.7109375" style="78" customWidth="1"/>
    <col min="13319" max="13568" width="9.140625" style="78"/>
    <col min="13569" max="13569" width="7.7109375" style="78" customWidth="1"/>
    <col min="13570" max="13570" width="50.7109375" style="78" customWidth="1"/>
    <col min="13571" max="13571" width="9" style="78" customWidth="1"/>
    <col min="13572" max="13572" width="8.7109375" style="78" customWidth="1"/>
    <col min="13573" max="13573" width="7.85546875" style="78" customWidth="1"/>
    <col min="13574" max="13574" width="10.7109375" style="78" customWidth="1"/>
    <col min="13575" max="13824" width="9.140625" style="78"/>
    <col min="13825" max="13825" width="7.7109375" style="78" customWidth="1"/>
    <col min="13826" max="13826" width="50.7109375" style="78" customWidth="1"/>
    <col min="13827" max="13827" width="9" style="78" customWidth="1"/>
    <col min="13828" max="13828" width="8.7109375" style="78" customWidth="1"/>
    <col min="13829" max="13829" width="7.85546875" style="78" customWidth="1"/>
    <col min="13830" max="13830" width="10.7109375" style="78" customWidth="1"/>
    <col min="13831" max="14080" width="9.140625" style="78"/>
    <col min="14081" max="14081" width="7.7109375" style="78" customWidth="1"/>
    <col min="14082" max="14082" width="50.7109375" style="78" customWidth="1"/>
    <col min="14083" max="14083" width="9" style="78" customWidth="1"/>
    <col min="14084" max="14084" width="8.7109375" style="78" customWidth="1"/>
    <col min="14085" max="14085" width="7.85546875" style="78" customWidth="1"/>
    <col min="14086" max="14086" width="10.7109375" style="78" customWidth="1"/>
    <col min="14087" max="14336" width="9.140625" style="78"/>
    <col min="14337" max="14337" width="7.7109375" style="78" customWidth="1"/>
    <col min="14338" max="14338" width="50.7109375" style="78" customWidth="1"/>
    <col min="14339" max="14339" width="9" style="78" customWidth="1"/>
    <col min="14340" max="14340" width="8.7109375" style="78" customWidth="1"/>
    <col min="14341" max="14341" width="7.85546875" style="78" customWidth="1"/>
    <col min="14342" max="14342" width="10.7109375" style="78" customWidth="1"/>
    <col min="14343" max="14592" width="9.140625" style="78"/>
    <col min="14593" max="14593" width="7.7109375" style="78" customWidth="1"/>
    <col min="14594" max="14594" width="50.7109375" style="78" customWidth="1"/>
    <col min="14595" max="14595" width="9" style="78" customWidth="1"/>
    <col min="14596" max="14596" width="8.7109375" style="78" customWidth="1"/>
    <col min="14597" max="14597" width="7.85546875" style="78" customWidth="1"/>
    <col min="14598" max="14598" width="10.7109375" style="78" customWidth="1"/>
    <col min="14599" max="14848" width="9.140625" style="78"/>
    <col min="14849" max="14849" width="7.7109375" style="78" customWidth="1"/>
    <col min="14850" max="14850" width="50.7109375" style="78" customWidth="1"/>
    <col min="14851" max="14851" width="9" style="78" customWidth="1"/>
    <col min="14852" max="14852" width="8.7109375" style="78" customWidth="1"/>
    <col min="14853" max="14853" width="7.85546875" style="78" customWidth="1"/>
    <col min="14854" max="14854" width="10.7109375" style="78" customWidth="1"/>
    <col min="14855" max="15104" width="9.140625" style="78"/>
    <col min="15105" max="15105" width="7.7109375" style="78" customWidth="1"/>
    <col min="15106" max="15106" width="50.7109375" style="78" customWidth="1"/>
    <col min="15107" max="15107" width="9" style="78" customWidth="1"/>
    <col min="15108" max="15108" width="8.7109375" style="78" customWidth="1"/>
    <col min="15109" max="15109" width="7.85546875" style="78" customWidth="1"/>
    <col min="15110" max="15110" width="10.7109375" style="78" customWidth="1"/>
    <col min="15111" max="15360" width="9.140625" style="78"/>
    <col min="15361" max="15361" width="7.7109375" style="78" customWidth="1"/>
    <col min="15362" max="15362" width="50.7109375" style="78" customWidth="1"/>
    <col min="15363" max="15363" width="9" style="78" customWidth="1"/>
    <col min="15364" max="15364" width="8.7109375" style="78" customWidth="1"/>
    <col min="15365" max="15365" width="7.85546875" style="78" customWidth="1"/>
    <col min="15366" max="15366" width="10.7109375" style="78" customWidth="1"/>
    <col min="15367" max="15616" width="9.140625" style="78"/>
    <col min="15617" max="15617" width="7.7109375" style="78" customWidth="1"/>
    <col min="15618" max="15618" width="50.7109375" style="78" customWidth="1"/>
    <col min="15619" max="15619" width="9" style="78" customWidth="1"/>
    <col min="15620" max="15620" width="8.7109375" style="78" customWidth="1"/>
    <col min="15621" max="15621" width="7.85546875" style="78" customWidth="1"/>
    <col min="15622" max="15622" width="10.7109375" style="78" customWidth="1"/>
    <col min="15623" max="15872" width="9.140625" style="78"/>
    <col min="15873" max="15873" width="7.7109375" style="78" customWidth="1"/>
    <col min="15874" max="15874" width="50.7109375" style="78" customWidth="1"/>
    <col min="15875" max="15875" width="9" style="78" customWidth="1"/>
    <col min="15876" max="15876" width="8.7109375" style="78" customWidth="1"/>
    <col min="15877" max="15877" width="7.85546875" style="78" customWidth="1"/>
    <col min="15878" max="15878" width="10.7109375" style="78" customWidth="1"/>
    <col min="15879" max="16128" width="9.140625" style="78"/>
    <col min="16129" max="16129" width="7.7109375" style="78" customWidth="1"/>
    <col min="16130" max="16130" width="50.7109375" style="78" customWidth="1"/>
    <col min="16131" max="16131" width="9" style="78" customWidth="1"/>
    <col min="16132" max="16132" width="8.7109375" style="78" customWidth="1"/>
    <col min="16133" max="16133" width="7.85546875" style="78" customWidth="1"/>
    <col min="16134" max="16134" width="10.7109375" style="78" customWidth="1"/>
    <col min="16135" max="16384" width="9.140625" style="78"/>
  </cols>
  <sheetData>
    <row r="1" spans="1:11" ht="60" customHeight="1" thickTop="1" thickBot="1">
      <c r="A1" s="77"/>
      <c r="B1" s="1687"/>
      <c r="C1" s="1688"/>
      <c r="D1" s="1688"/>
      <c r="E1" s="1688"/>
      <c r="F1" s="1688"/>
    </row>
    <row r="2" spans="1:11" ht="28.5" customHeight="1" thickTop="1">
      <c r="A2" s="1695" t="s">
        <v>3990</v>
      </c>
      <c r="B2" s="1695"/>
      <c r="C2" s="1695"/>
      <c r="D2" s="1695"/>
      <c r="E2" s="1695"/>
      <c r="F2" s="1695"/>
    </row>
    <row r="3" spans="1:11" ht="24.95" customHeight="1">
      <c r="A3" s="81" t="s">
        <v>992</v>
      </c>
      <c r="B3" s="848" t="s">
        <v>3936</v>
      </c>
      <c r="C3" s="81" t="s">
        <v>3937</v>
      </c>
      <c r="D3" s="81" t="s">
        <v>99</v>
      </c>
      <c r="E3" s="759" t="s">
        <v>3938</v>
      </c>
      <c r="F3" s="81" t="s">
        <v>3939</v>
      </c>
    </row>
    <row r="4" spans="1:11" ht="12.75">
      <c r="A4" s="849"/>
      <c r="B4" s="749"/>
      <c r="C4" s="850"/>
      <c r="D4" s="851"/>
      <c r="E4" s="851"/>
      <c r="F4" s="851"/>
    </row>
    <row r="5" spans="1:11" ht="12.75">
      <c r="A5" s="849" t="s">
        <v>3940</v>
      </c>
      <c r="B5" s="852" t="s">
        <v>3991</v>
      </c>
      <c r="C5" s="853"/>
      <c r="D5" s="854"/>
      <c r="E5" s="855"/>
      <c r="F5" s="856"/>
    </row>
    <row r="6" spans="1:11" ht="67.5">
      <c r="A6" s="849"/>
      <c r="B6" s="857" t="s">
        <v>3992</v>
      </c>
      <c r="C6" s="858"/>
      <c r="D6" s="854"/>
      <c r="E6" s="983"/>
      <c r="F6" s="859"/>
    </row>
    <row r="7" spans="1:11" ht="21">
      <c r="A7" s="849"/>
      <c r="B7" s="860" t="s">
        <v>3993</v>
      </c>
      <c r="C7" s="858"/>
      <c r="D7" s="854"/>
      <c r="E7" s="983"/>
      <c r="F7" s="859"/>
    </row>
    <row r="8" spans="1:11" ht="12.75">
      <c r="A8" s="849"/>
      <c r="B8" s="861"/>
      <c r="C8" s="862" t="s">
        <v>3967</v>
      </c>
      <c r="D8" s="863">
        <v>1</v>
      </c>
      <c r="E8" s="143"/>
      <c r="F8" s="864">
        <f>D8*E8</f>
        <v>0</v>
      </c>
    </row>
    <row r="9" spans="1:11">
      <c r="A9" s="849"/>
      <c r="B9" s="83"/>
      <c r="C9" s="865"/>
      <c r="D9" s="866"/>
      <c r="E9" s="984"/>
      <c r="F9" s="867"/>
      <c r="G9" s="8"/>
      <c r="H9" s="8"/>
      <c r="I9" s="8"/>
      <c r="J9" s="8"/>
    </row>
    <row r="10" spans="1:11" s="101" customFormat="1" ht="12.75">
      <c r="A10" s="849" t="s">
        <v>3945</v>
      </c>
      <c r="B10" s="868" t="s">
        <v>3994</v>
      </c>
      <c r="C10" s="850"/>
      <c r="D10" s="851"/>
      <c r="E10" s="985"/>
      <c r="F10" s="869"/>
      <c r="G10" s="94"/>
      <c r="H10" s="94"/>
      <c r="I10" s="94"/>
      <c r="J10" s="94"/>
      <c r="K10" s="94"/>
    </row>
    <row r="11" spans="1:11" s="101" customFormat="1" ht="123.75">
      <c r="A11" s="849"/>
      <c r="B11" s="749" t="s">
        <v>3995</v>
      </c>
      <c r="C11" s="850"/>
      <c r="D11" s="851"/>
      <c r="E11" s="985"/>
      <c r="F11" s="851"/>
      <c r="G11" s="94"/>
      <c r="H11" s="94"/>
      <c r="I11" s="94"/>
      <c r="J11" s="94"/>
      <c r="K11" s="94"/>
    </row>
    <row r="12" spans="1:11" s="101" customFormat="1" ht="35.25" customHeight="1">
      <c r="A12" s="849"/>
      <c r="B12" s="747" t="s">
        <v>3996</v>
      </c>
      <c r="C12" s="850"/>
      <c r="D12" s="851"/>
      <c r="E12" s="985"/>
      <c r="F12" s="851"/>
      <c r="G12" s="94"/>
      <c r="H12" s="94"/>
      <c r="I12" s="94"/>
      <c r="J12" s="94"/>
      <c r="K12" s="94"/>
    </row>
    <row r="13" spans="1:11" s="101" customFormat="1" ht="12.75">
      <c r="A13" s="849"/>
      <c r="B13" s="748" t="s">
        <v>3997</v>
      </c>
      <c r="C13" s="870" t="s">
        <v>1184</v>
      </c>
      <c r="D13" s="871">
        <v>5</v>
      </c>
      <c r="E13" s="143"/>
      <c r="F13" s="864">
        <f>D13*E13</f>
        <v>0</v>
      </c>
      <c r="G13" s="94"/>
      <c r="H13" s="94"/>
      <c r="I13" s="94"/>
      <c r="J13" s="94"/>
      <c r="K13" s="94"/>
    </row>
    <row r="14" spans="1:11" s="875" customFormat="1" ht="12.75">
      <c r="A14" s="849"/>
      <c r="B14" s="748" t="s">
        <v>3998</v>
      </c>
      <c r="C14" s="872" t="s">
        <v>1184</v>
      </c>
      <c r="D14" s="871">
        <v>57</v>
      </c>
      <c r="E14" s="151"/>
      <c r="F14" s="873">
        <f>D14*E14</f>
        <v>0</v>
      </c>
      <c r="G14" s="874"/>
      <c r="H14" s="874"/>
      <c r="I14" s="874"/>
      <c r="J14" s="874"/>
      <c r="K14" s="874"/>
    </row>
    <row r="15" spans="1:11" s="875" customFormat="1" ht="12.75">
      <c r="A15" s="849"/>
      <c r="B15" s="748" t="s">
        <v>3999</v>
      </c>
      <c r="C15" s="872" t="s">
        <v>1184</v>
      </c>
      <c r="D15" s="871">
        <v>25</v>
      </c>
      <c r="E15" s="152"/>
      <c r="F15" s="876">
        <f>D15*E15</f>
        <v>0</v>
      </c>
      <c r="G15" s="874"/>
      <c r="H15" s="874"/>
      <c r="I15" s="874"/>
      <c r="J15" s="874"/>
      <c r="K15" s="874"/>
    </row>
    <row r="16" spans="1:11" s="88" customFormat="1" ht="12.75">
      <c r="A16" s="849"/>
      <c r="B16" s="877"/>
      <c r="C16" s="862"/>
      <c r="D16" s="878"/>
      <c r="E16" s="986"/>
      <c r="F16" s="879"/>
    </row>
    <row r="17" spans="1:7" s="88" customFormat="1" ht="12.75">
      <c r="A17" s="849" t="s">
        <v>3948</v>
      </c>
      <c r="B17" s="880" t="s">
        <v>4000</v>
      </c>
      <c r="C17" s="881"/>
      <c r="D17" s="101"/>
      <c r="E17" s="836"/>
      <c r="F17" s="101"/>
    </row>
    <row r="18" spans="1:7" s="88" customFormat="1" ht="45">
      <c r="A18" s="849"/>
      <c r="B18" s="882" t="s">
        <v>4001</v>
      </c>
      <c r="C18" s="883"/>
      <c r="D18" s="884"/>
      <c r="E18" s="987"/>
      <c r="F18" s="884"/>
    </row>
    <row r="19" spans="1:7" s="88" customFormat="1" ht="12.75">
      <c r="A19" s="849"/>
      <c r="B19" s="885" t="s">
        <v>4002</v>
      </c>
      <c r="C19" s="862" t="s">
        <v>3967</v>
      </c>
      <c r="D19" s="768">
        <v>2</v>
      </c>
      <c r="E19" s="143"/>
      <c r="F19" s="769">
        <f>D19*E19</f>
        <v>0</v>
      </c>
    </row>
    <row r="20" spans="1:7" s="88" customFormat="1" ht="12.75">
      <c r="A20" s="849"/>
      <c r="B20" s="885" t="s">
        <v>4003</v>
      </c>
      <c r="C20" s="862" t="s">
        <v>3967</v>
      </c>
      <c r="D20" s="768">
        <v>2</v>
      </c>
      <c r="E20" s="143"/>
      <c r="F20" s="769">
        <f>D20*E20</f>
        <v>0</v>
      </c>
    </row>
    <row r="21" spans="1:7" s="88" customFormat="1" ht="12.75">
      <c r="A21" s="849"/>
      <c r="B21" s="877"/>
      <c r="C21" s="862"/>
      <c r="D21" s="878"/>
      <c r="E21" s="986"/>
      <c r="F21" s="879"/>
    </row>
    <row r="22" spans="1:7" s="88" customFormat="1" ht="12.75">
      <c r="A22" s="849" t="s">
        <v>3952</v>
      </c>
      <c r="B22" s="880" t="s">
        <v>4004</v>
      </c>
      <c r="C22" s="881"/>
      <c r="D22" s="101"/>
      <c r="E22" s="836"/>
      <c r="F22" s="101"/>
    </row>
    <row r="23" spans="1:7" s="88" customFormat="1" ht="33.75">
      <c r="A23" s="849"/>
      <c r="B23" s="882" t="s">
        <v>4005</v>
      </c>
      <c r="C23" s="883"/>
      <c r="D23" s="884"/>
      <c r="E23" s="987"/>
      <c r="F23" s="884"/>
    </row>
    <row r="24" spans="1:7" s="88" customFormat="1" ht="12.75">
      <c r="A24" s="849"/>
      <c r="B24" s="885" t="s">
        <v>4006</v>
      </c>
      <c r="C24" s="883"/>
      <c r="D24" s="884"/>
      <c r="E24" s="987"/>
      <c r="F24" s="884"/>
    </row>
    <row r="25" spans="1:7" s="88" customFormat="1" ht="12.75">
      <c r="A25" s="849"/>
      <c r="B25" s="885"/>
      <c r="C25" s="862" t="s">
        <v>1184</v>
      </c>
      <c r="D25" s="878">
        <v>87</v>
      </c>
      <c r="E25" s="143"/>
      <c r="F25" s="886">
        <f>D25*E25</f>
        <v>0</v>
      </c>
    </row>
    <row r="26" spans="1:7" s="888" customFormat="1" ht="12.75">
      <c r="A26" s="849"/>
      <c r="B26" s="748"/>
      <c r="C26" s="887"/>
      <c r="D26" s="878"/>
      <c r="E26" s="986"/>
      <c r="F26" s="878"/>
    </row>
    <row r="27" spans="1:7" s="888" customFormat="1" ht="12.75">
      <c r="A27" s="849" t="s">
        <v>3956</v>
      </c>
      <c r="B27" s="889" t="s">
        <v>4007</v>
      </c>
      <c r="C27" s="890"/>
      <c r="D27" s="891"/>
      <c r="E27" s="988"/>
      <c r="F27" s="892"/>
    </row>
    <row r="28" spans="1:7" s="888" customFormat="1" ht="112.5" customHeight="1">
      <c r="A28" s="849"/>
      <c r="B28" s="750" t="s">
        <v>4008</v>
      </c>
      <c r="C28" s="890"/>
      <c r="D28" s="891"/>
      <c r="E28" s="988"/>
      <c r="F28" s="891"/>
    </row>
    <row r="29" spans="1:7" s="874" customFormat="1" ht="22.5">
      <c r="A29" s="849"/>
      <c r="B29" s="750" t="s">
        <v>4009</v>
      </c>
      <c r="C29" s="890"/>
      <c r="D29" s="891"/>
      <c r="E29" s="988"/>
      <c r="F29" s="891"/>
    </row>
    <row r="30" spans="1:7" s="888" customFormat="1" ht="12.75">
      <c r="A30" s="849"/>
      <c r="B30" s="893" t="s">
        <v>4010</v>
      </c>
      <c r="C30" s="887" t="s">
        <v>1184</v>
      </c>
      <c r="D30" s="878">
        <v>109</v>
      </c>
      <c r="E30" s="153"/>
      <c r="F30" s="894">
        <f>D30*E30</f>
        <v>0</v>
      </c>
      <c r="G30" s="874"/>
    </row>
    <row r="31" spans="1:7" s="888" customFormat="1" ht="12.75">
      <c r="A31" s="849"/>
      <c r="B31" s="893" t="s">
        <v>4011</v>
      </c>
      <c r="C31" s="887" t="s">
        <v>1184</v>
      </c>
      <c r="D31" s="878">
        <v>91</v>
      </c>
      <c r="E31" s="153"/>
      <c r="F31" s="894">
        <f>D31*E31</f>
        <v>0</v>
      </c>
      <c r="G31" s="874"/>
    </row>
    <row r="32" spans="1:7" s="888" customFormat="1" ht="12.75">
      <c r="A32" s="849"/>
      <c r="B32" s="893" t="s">
        <v>4012</v>
      </c>
      <c r="C32" s="887" t="s">
        <v>1184</v>
      </c>
      <c r="D32" s="878">
        <v>62</v>
      </c>
      <c r="E32" s="153"/>
      <c r="F32" s="894">
        <f>D32*E32</f>
        <v>0</v>
      </c>
      <c r="G32" s="874"/>
    </row>
    <row r="33" spans="1:7" ht="12.75">
      <c r="A33" s="849"/>
      <c r="B33" s="895"/>
      <c r="C33" s="896"/>
      <c r="D33" s="897"/>
      <c r="E33" s="985"/>
      <c r="F33" s="898"/>
      <c r="G33" s="87"/>
    </row>
    <row r="34" spans="1:7" ht="12.75">
      <c r="A34" s="849" t="s">
        <v>3959</v>
      </c>
      <c r="B34" s="868" t="s">
        <v>4013</v>
      </c>
      <c r="C34" s="850"/>
      <c r="D34" s="851"/>
      <c r="E34" s="985"/>
      <c r="F34" s="899"/>
    </row>
    <row r="35" spans="1:7" s="87" customFormat="1" ht="67.5">
      <c r="A35" s="849"/>
      <c r="B35" s="900" t="s">
        <v>4014</v>
      </c>
      <c r="C35" s="850"/>
      <c r="D35" s="851"/>
      <c r="E35" s="985"/>
      <c r="F35" s="851"/>
      <c r="G35" s="78"/>
    </row>
    <row r="36" spans="1:7" s="87" customFormat="1" ht="56.25">
      <c r="A36" s="849"/>
      <c r="B36" s="900" t="s">
        <v>4015</v>
      </c>
      <c r="C36" s="850"/>
      <c r="D36" s="851"/>
      <c r="E36" s="985"/>
      <c r="F36" s="851"/>
      <c r="G36" s="78"/>
    </row>
    <row r="37" spans="1:7" s="87" customFormat="1" ht="12.75">
      <c r="A37" s="849"/>
      <c r="B37" s="900" t="s">
        <v>4016</v>
      </c>
      <c r="C37" s="901"/>
      <c r="D37" s="902"/>
      <c r="E37" s="989"/>
      <c r="F37" s="902"/>
      <c r="G37" s="78"/>
    </row>
    <row r="38" spans="1:7" s="87" customFormat="1" ht="22.5">
      <c r="A38" s="849"/>
      <c r="B38" s="900" t="s">
        <v>4017</v>
      </c>
      <c r="C38" s="850"/>
      <c r="D38" s="851"/>
      <c r="E38" s="985"/>
      <c r="F38" s="851"/>
      <c r="G38" s="78"/>
    </row>
    <row r="39" spans="1:7" s="87" customFormat="1" ht="12.75">
      <c r="A39" s="849"/>
      <c r="B39" s="900" t="s">
        <v>4018</v>
      </c>
      <c r="C39" s="862" t="s">
        <v>1184</v>
      </c>
      <c r="D39" s="871">
        <v>122</v>
      </c>
      <c r="E39" s="143"/>
      <c r="F39" s="864">
        <f t="shared" ref="F39:F44" si="0">D39*E39</f>
        <v>0</v>
      </c>
      <c r="G39" s="78"/>
    </row>
    <row r="40" spans="1:7" s="87" customFormat="1" ht="12.75">
      <c r="A40" s="849"/>
      <c r="B40" s="900" t="s">
        <v>4019</v>
      </c>
      <c r="C40" s="862" t="s">
        <v>1184</v>
      </c>
      <c r="D40" s="871">
        <v>96</v>
      </c>
      <c r="E40" s="154"/>
      <c r="F40" s="903">
        <f t="shared" si="0"/>
        <v>0</v>
      </c>
      <c r="G40" s="78"/>
    </row>
    <row r="41" spans="1:7" s="87" customFormat="1" ht="12.75">
      <c r="A41" s="849"/>
      <c r="B41" s="900" t="s">
        <v>4020</v>
      </c>
      <c r="C41" s="862" t="s">
        <v>1184</v>
      </c>
      <c r="D41" s="871">
        <v>26</v>
      </c>
      <c r="E41" s="154"/>
      <c r="F41" s="903">
        <f t="shared" si="0"/>
        <v>0</v>
      </c>
      <c r="G41" s="78"/>
    </row>
    <row r="42" spans="1:7" s="87" customFormat="1" ht="12.75">
      <c r="A42" s="849"/>
      <c r="B42" s="900" t="s">
        <v>4021</v>
      </c>
      <c r="C42" s="862" t="s">
        <v>1184</v>
      </c>
      <c r="D42" s="871">
        <v>20</v>
      </c>
      <c r="E42" s="154"/>
      <c r="F42" s="903">
        <f t="shared" si="0"/>
        <v>0</v>
      </c>
      <c r="G42" s="78"/>
    </row>
    <row r="43" spans="1:7" s="87" customFormat="1" ht="12.75">
      <c r="A43" s="849"/>
      <c r="B43" s="900" t="s">
        <v>4022</v>
      </c>
      <c r="C43" s="862" t="s">
        <v>1184</v>
      </c>
      <c r="D43" s="871">
        <v>66</v>
      </c>
      <c r="E43" s="154"/>
      <c r="F43" s="903">
        <f>D43*E43</f>
        <v>0</v>
      </c>
      <c r="G43" s="78"/>
    </row>
    <row r="44" spans="1:7" s="87" customFormat="1" ht="12.75">
      <c r="A44" s="849"/>
      <c r="B44" s="900" t="s">
        <v>4023</v>
      </c>
      <c r="C44" s="862" t="s">
        <v>1184</v>
      </c>
      <c r="D44" s="871">
        <v>69</v>
      </c>
      <c r="E44" s="154"/>
      <c r="F44" s="903">
        <f t="shared" si="0"/>
        <v>0</v>
      </c>
      <c r="G44" s="78"/>
    </row>
    <row r="45" spans="1:7" ht="12.75">
      <c r="A45" s="849"/>
      <c r="B45" s="900"/>
      <c r="C45" s="850"/>
      <c r="D45" s="904"/>
      <c r="E45" s="833"/>
      <c r="F45" s="851"/>
    </row>
    <row r="46" spans="1:7" ht="12.75">
      <c r="A46" s="849" t="s">
        <v>3963</v>
      </c>
      <c r="B46" s="905" t="s">
        <v>4024</v>
      </c>
      <c r="C46" s="850"/>
      <c r="D46" s="851"/>
      <c r="E46" s="985"/>
      <c r="F46" s="899"/>
      <c r="G46" s="94"/>
    </row>
    <row r="47" spans="1:7" ht="12.75">
      <c r="A47" s="849"/>
      <c r="B47" s="900" t="s">
        <v>4025</v>
      </c>
      <c r="C47" s="850"/>
      <c r="D47" s="851"/>
      <c r="E47" s="985"/>
      <c r="F47" s="851"/>
    </row>
    <row r="48" spans="1:7" s="87" customFormat="1" ht="12.75">
      <c r="A48" s="849"/>
      <c r="B48" s="900" t="s">
        <v>4026</v>
      </c>
      <c r="C48" s="850"/>
      <c r="D48" s="851"/>
      <c r="E48" s="985"/>
      <c r="F48" s="851"/>
      <c r="G48" s="88"/>
    </row>
    <row r="49" spans="1:12" s="87" customFormat="1" ht="12.75">
      <c r="A49" s="849"/>
      <c r="B49" s="900" t="s">
        <v>4027</v>
      </c>
      <c r="C49" s="862" t="s">
        <v>3770</v>
      </c>
      <c r="D49" s="871">
        <v>1</v>
      </c>
      <c r="E49" s="143"/>
      <c r="F49" s="864">
        <f>D49*E49</f>
        <v>0</v>
      </c>
      <c r="G49" s="88"/>
    </row>
    <row r="50" spans="1:12" s="87" customFormat="1" ht="12.75">
      <c r="A50" s="849"/>
      <c r="B50" s="900" t="s">
        <v>4019</v>
      </c>
      <c r="C50" s="862" t="s">
        <v>3770</v>
      </c>
      <c r="D50" s="871">
        <v>7</v>
      </c>
      <c r="E50" s="143"/>
      <c r="F50" s="864">
        <f>D50*E50</f>
        <v>0</v>
      </c>
      <c r="G50" s="88"/>
    </row>
    <row r="51" spans="1:12" s="87" customFormat="1" ht="12.75">
      <c r="A51" s="849"/>
      <c r="B51" s="900" t="s">
        <v>4020</v>
      </c>
      <c r="C51" s="862" t="s">
        <v>3770</v>
      </c>
      <c r="D51" s="871">
        <v>1</v>
      </c>
      <c r="E51" s="154"/>
      <c r="F51" s="903">
        <f>D51*E51</f>
        <v>0</v>
      </c>
      <c r="G51" s="88"/>
    </row>
    <row r="52" spans="1:12" s="87" customFormat="1" ht="12.75">
      <c r="A52" s="849"/>
      <c r="B52" s="900" t="s">
        <v>4028</v>
      </c>
      <c r="C52" s="862" t="s">
        <v>3770</v>
      </c>
      <c r="D52" s="871">
        <v>3</v>
      </c>
      <c r="E52" s="154"/>
      <c r="F52" s="903">
        <f>D52*E52</f>
        <v>0</v>
      </c>
      <c r="G52" s="88"/>
    </row>
    <row r="53" spans="1:12" s="87" customFormat="1" ht="12.75">
      <c r="A53" s="849"/>
      <c r="B53" s="900" t="s">
        <v>4029</v>
      </c>
      <c r="C53" s="862" t="s">
        <v>3770</v>
      </c>
      <c r="D53" s="871">
        <v>1</v>
      </c>
      <c r="E53" s="154"/>
      <c r="F53" s="903">
        <f>D53*E53</f>
        <v>0</v>
      </c>
      <c r="G53" s="88"/>
    </row>
    <row r="54" spans="1:12" ht="12.75">
      <c r="A54" s="849"/>
      <c r="B54" s="900"/>
      <c r="C54" s="850"/>
      <c r="D54" s="904"/>
      <c r="E54" s="833"/>
      <c r="F54" s="851"/>
    </row>
    <row r="55" spans="1:12" ht="12.75">
      <c r="A55" s="849" t="s">
        <v>3968</v>
      </c>
      <c r="B55" s="905" t="s">
        <v>4030</v>
      </c>
      <c r="C55" s="850"/>
      <c r="D55" s="851"/>
      <c r="E55" s="985"/>
      <c r="F55" s="899"/>
      <c r="G55" s="94"/>
    </row>
    <row r="56" spans="1:12" ht="12.75">
      <c r="A56" s="849"/>
      <c r="B56" s="900" t="s">
        <v>4031</v>
      </c>
      <c r="C56" s="850"/>
      <c r="D56" s="851"/>
      <c r="E56" s="985"/>
      <c r="F56" s="851"/>
    </row>
    <row r="57" spans="1:12" s="87" customFormat="1" ht="12.75">
      <c r="A57" s="849"/>
      <c r="B57" s="900" t="s">
        <v>4032</v>
      </c>
      <c r="C57" s="850"/>
      <c r="D57" s="851"/>
      <c r="E57" s="985"/>
      <c r="F57" s="851"/>
      <c r="G57" s="88"/>
    </row>
    <row r="58" spans="1:12" s="87" customFormat="1" ht="12.75">
      <c r="A58" s="849"/>
      <c r="B58" s="900" t="s">
        <v>4018</v>
      </c>
      <c r="C58" s="862" t="s">
        <v>3770</v>
      </c>
      <c r="D58" s="871">
        <v>28</v>
      </c>
      <c r="E58" s="143"/>
      <c r="F58" s="864">
        <f>D58*E58</f>
        <v>0</v>
      </c>
      <c r="G58" s="88"/>
    </row>
    <row r="59" spans="1:12" ht="12.75">
      <c r="A59" s="849"/>
      <c r="B59" s="787"/>
      <c r="C59" s="906"/>
      <c r="D59" s="789"/>
      <c r="E59" s="840"/>
      <c r="F59" s="790"/>
    </row>
    <row r="60" spans="1:12" ht="12.75">
      <c r="A60" s="849" t="s">
        <v>3972</v>
      </c>
      <c r="B60" s="907" t="s">
        <v>4033</v>
      </c>
      <c r="C60" s="906"/>
      <c r="D60" s="789"/>
      <c r="E60" s="840"/>
      <c r="F60" s="790"/>
    </row>
    <row r="61" spans="1:12" ht="45">
      <c r="A61" s="849"/>
      <c r="B61" s="812" t="s">
        <v>4034</v>
      </c>
      <c r="C61" s="906"/>
      <c r="D61" s="789"/>
      <c r="E61" s="840"/>
      <c r="F61" s="790"/>
    </row>
    <row r="62" spans="1:12" ht="12.75">
      <c r="A62" s="849"/>
      <c r="B62" s="812" t="s">
        <v>4035</v>
      </c>
      <c r="C62" s="908" t="s">
        <v>3770</v>
      </c>
      <c r="D62" s="909">
        <v>1</v>
      </c>
      <c r="E62" s="155"/>
      <c r="F62" s="910">
        <f>D62*E62</f>
        <v>0</v>
      </c>
    </row>
    <row r="63" spans="1:12" s="88" customFormat="1" ht="12.75">
      <c r="A63" s="849"/>
      <c r="B63" s="812"/>
      <c r="C63" s="911"/>
      <c r="D63" s="789"/>
      <c r="E63" s="844"/>
      <c r="F63" s="790"/>
      <c r="G63" s="78"/>
      <c r="H63" s="95"/>
      <c r="I63" s="95"/>
      <c r="J63" s="87"/>
      <c r="K63" s="87"/>
    </row>
    <row r="64" spans="1:12" s="101" customFormat="1" ht="12.75">
      <c r="A64" s="849" t="s">
        <v>3975</v>
      </c>
      <c r="B64" s="852" t="s">
        <v>4036</v>
      </c>
      <c r="C64" s="911"/>
      <c r="D64" s="789"/>
      <c r="E64" s="841"/>
      <c r="F64" s="791"/>
      <c r="G64" s="78"/>
      <c r="H64" s="94"/>
      <c r="I64" s="94"/>
      <c r="J64" s="94"/>
      <c r="K64" s="94"/>
      <c r="L64" s="94"/>
    </row>
    <row r="65" spans="1:7" ht="56.25">
      <c r="A65" s="849"/>
      <c r="B65" s="812" t="s">
        <v>4037</v>
      </c>
      <c r="C65" s="911"/>
      <c r="D65" s="789"/>
      <c r="E65" s="840"/>
      <c r="F65" s="790"/>
      <c r="G65" s="94"/>
    </row>
    <row r="66" spans="1:7" ht="12.75">
      <c r="A66" s="849"/>
      <c r="B66" s="912" t="s">
        <v>4038</v>
      </c>
      <c r="C66" s="862" t="s">
        <v>3770</v>
      </c>
      <c r="D66" s="871">
        <v>2</v>
      </c>
      <c r="E66" s="143"/>
      <c r="F66" s="864">
        <f>D66*E66</f>
        <v>0</v>
      </c>
    </row>
    <row r="67" spans="1:7" ht="12.75">
      <c r="A67" s="849"/>
      <c r="B67" s="912" t="s">
        <v>4039</v>
      </c>
      <c r="C67" s="862" t="s">
        <v>3770</v>
      </c>
      <c r="D67" s="871">
        <v>2</v>
      </c>
      <c r="E67" s="143"/>
      <c r="F67" s="864">
        <f>D67*E67</f>
        <v>0</v>
      </c>
    </row>
    <row r="68" spans="1:7" ht="12.75">
      <c r="A68" s="849"/>
      <c r="B68" s="912" t="s">
        <v>4040</v>
      </c>
      <c r="C68" s="862" t="s">
        <v>3770</v>
      </c>
      <c r="D68" s="871">
        <v>1</v>
      </c>
      <c r="E68" s="143"/>
      <c r="F68" s="864">
        <f>D68*E68</f>
        <v>0</v>
      </c>
    </row>
    <row r="69" spans="1:7" ht="12.75">
      <c r="A69" s="849"/>
      <c r="B69" s="912" t="s">
        <v>4041</v>
      </c>
      <c r="C69" s="862" t="s">
        <v>3770</v>
      </c>
      <c r="D69" s="871">
        <v>1</v>
      </c>
      <c r="E69" s="143"/>
      <c r="F69" s="864">
        <f>D69*E69</f>
        <v>0</v>
      </c>
    </row>
    <row r="70" spans="1:7" ht="12.75">
      <c r="A70" s="849"/>
      <c r="B70" s="900"/>
      <c r="C70" s="862"/>
      <c r="D70" s="871"/>
      <c r="E70" s="144"/>
      <c r="F70" s="913"/>
    </row>
    <row r="71" spans="1:7" ht="12.75">
      <c r="A71" s="849" t="s">
        <v>3986</v>
      </c>
      <c r="B71" s="907" t="s">
        <v>4042</v>
      </c>
      <c r="C71" s="911"/>
      <c r="D71" s="914"/>
      <c r="E71" s="990"/>
      <c r="F71" s="915"/>
    </row>
    <row r="72" spans="1:7" ht="33.75">
      <c r="A72" s="849"/>
      <c r="B72" s="812" t="s">
        <v>4043</v>
      </c>
      <c r="C72" s="911"/>
      <c r="D72" s="914"/>
      <c r="E72" s="991"/>
      <c r="F72" s="915"/>
    </row>
    <row r="73" spans="1:7" ht="12.75">
      <c r="A73" s="849"/>
      <c r="B73" s="812" t="s">
        <v>4044</v>
      </c>
      <c r="C73" s="862" t="s">
        <v>3770</v>
      </c>
      <c r="D73" s="871">
        <v>9</v>
      </c>
      <c r="E73" s="143"/>
      <c r="F73" s="864">
        <f>D73*E73</f>
        <v>0</v>
      </c>
    </row>
    <row r="74" spans="1:7" ht="12.75">
      <c r="A74" s="781"/>
      <c r="B74" s="787"/>
      <c r="C74" s="906"/>
      <c r="D74" s="789"/>
      <c r="E74" s="992"/>
      <c r="F74" s="810"/>
    </row>
    <row r="75" spans="1:7" ht="12.75">
      <c r="A75" s="849" t="s">
        <v>4045</v>
      </c>
      <c r="B75" s="907" t="s">
        <v>4046</v>
      </c>
      <c r="C75" s="906"/>
      <c r="D75" s="789"/>
      <c r="E75" s="840"/>
      <c r="F75" s="810"/>
    </row>
    <row r="76" spans="1:7" ht="45">
      <c r="A76" s="781"/>
      <c r="B76" s="809" t="s">
        <v>4047</v>
      </c>
      <c r="C76" s="906"/>
      <c r="D76" s="789"/>
      <c r="E76" s="992"/>
      <c r="F76" s="810"/>
    </row>
    <row r="77" spans="1:7" ht="12.75">
      <c r="A77" s="781"/>
      <c r="B77" s="787" t="s">
        <v>4048</v>
      </c>
      <c r="C77" s="908" t="s">
        <v>3770</v>
      </c>
      <c r="D77" s="909">
        <v>1</v>
      </c>
      <c r="E77" s="155"/>
      <c r="F77" s="815">
        <f>D77*E77</f>
        <v>0</v>
      </c>
    </row>
    <row r="78" spans="1:7" ht="12.75">
      <c r="A78" s="781"/>
      <c r="B78" s="787" t="s">
        <v>4049</v>
      </c>
      <c r="C78" s="908" t="s">
        <v>3770</v>
      </c>
      <c r="D78" s="909">
        <v>1</v>
      </c>
      <c r="E78" s="155"/>
      <c r="F78" s="815">
        <f>D78*E78</f>
        <v>0</v>
      </c>
    </row>
    <row r="79" spans="1:7" ht="12.75">
      <c r="A79" s="781"/>
      <c r="B79" s="787"/>
      <c r="C79" s="906"/>
      <c r="D79" s="779"/>
      <c r="E79" s="993"/>
      <c r="F79" s="794"/>
    </row>
    <row r="80" spans="1:7" ht="12.75">
      <c r="A80" s="849" t="s">
        <v>4050</v>
      </c>
      <c r="B80" s="907" t="s">
        <v>4051</v>
      </c>
      <c r="C80" s="906"/>
      <c r="D80" s="779"/>
      <c r="E80" s="839"/>
      <c r="F80" s="794"/>
    </row>
    <row r="81" spans="1:6" ht="45">
      <c r="A81" s="781"/>
      <c r="B81" s="917" t="s">
        <v>4052</v>
      </c>
      <c r="C81" s="906"/>
      <c r="D81" s="779"/>
      <c r="E81" s="993"/>
      <c r="F81" s="794"/>
    </row>
    <row r="82" spans="1:6" ht="12.75">
      <c r="A82" s="781"/>
      <c r="B82" s="787" t="s">
        <v>4053</v>
      </c>
      <c r="C82" s="908" t="s">
        <v>3770</v>
      </c>
      <c r="D82" s="909">
        <v>11</v>
      </c>
      <c r="E82" s="155"/>
      <c r="F82" s="815">
        <f>D82*E82</f>
        <v>0</v>
      </c>
    </row>
    <row r="83" spans="1:6" s="874" customFormat="1" ht="12.75">
      <c r="A83" s="849"/>
      <c r="B83" s="750"/>
      <c r="C83" s="887"/>
      <c r="D83" s="878"/>
      <c r="E83" s="986"/>
      <c r="F83" s="878"/>
    </row>
    <row r="84" spans="1:6" s="874" customFormat="1" ht="12.75">
      <c r="A84" s="849" t="s">
        <v>4054</v>
      </c>
      <c r="B84" s="880" t="s">
        <v>4055</v>
      </c>
      <c r="C84" s="121"/>
      <c r="E84" s="994"/>
    </row>
    <row r="85" spans="1:6" s="874" customFormat="1" ht="56.25">
      <c r="A85" s="849"/>
      <c r="B85" s="918" t="s">
        <v>4056</v>
      </c>
      <c r="C85" s="121"/>
      <c r="E85" s="994"/>
    </row>
    <row r="86" spans="1:6" s="874" customFormat="1" ht="56.25">
      <c r="A86" s="849"/>
      <c r="B86" s="918" t="s">
        <v>4057</v>
      </c>
      <c r="C86" s="121"/>
      <c r="E86" s="994"/>
    </row>
    <row r="87" spans="1:6" s="874" customFormat="1" ht="22.5">
      <c r="A87" s="849"/>
      <c r="B87" s="919" t="s">
        <v>4058</v>
      </c>
      <c r="C87" s="887"/>
      <c r="D87" s="878"/>
      <c r="E87" s="995"/>
      <c r="F87" s="878"/>
    </row>
    <row r="88" spans="1:6" s="874" customFormat="1" ht="12.75">
      <c r="A88" s="849"/>
      <c r="B88" s="750"/>
      <c r="C88" s="887" t="s">
        <v>3770</v>
      </c>
      <c r="D88" s="878">
        <v>14</v>
      </c>
      <c r="E88" s="153"/>
      <c r="F88" s="894">
        <f>D88*E88</f>
        <v>0</v>
      </c>
    </row>
    <row r="89" spans="1:6" s="874" customFormat="1" ht="12.75">
      <c r="A89" s="849"/>
      <c r="B89" s="750"/>
      <c r="C89" s="887"/>
      <c r="D89" s="878"/>
      <c r="E89" s="986"/>
      <c r="F89" s="878"/>
    </row>
    <row r="90" spans="1:6" s="874" customFormat="1" ht="12.75">
      <c r="A90" s="849" t="s">
        <v>4059</v>
      </c>
      <c r="B90" s="880" t="s">
        <v>4060</v>
      </c>
      <c r="C90" s="121"/>
      <c r="E90" s="994"/>
    </row>
    <row r="91" spans="1:6" s="874" customFormat="1" ht="56.25">
      <c r="A91" s="849"/>
      <c r="B91" s="918" t="s">
        <v>4061</v>
      </c>
      <c r="C91" s="121"/>
      <c r="E91" s="994"/>
    </row>
    <row r="92" spans="1:6" s="874" customFormat="1" ht="56.25">
      <c r="A92" s="849"/>
      <c r="B92" s="918" t="s">
        <v>4057</v>
      </c>
      <c r="C92" s="121"/>
      <c r="E92" s="994"/>
    </row>
    <row r="93" spans="1:6" s="874" customFormat="1" ht="22.5">
      <c r="A93" s="849"/>
      <c r="B93" s="919" t="s">
        <v>4058</v>
      </c>
      <c r="C93" s="887"/>
      <c r="D93" s="878"/>
      <c r="E93" s="995"/>
      <c r="F93" s="878"/>
    </row>
    <row r="94" spans="1:6" s="874" customFormat="1" ht="12.75">
      <c r="A94" s="849"/>
      <c r="B94" s="750"/>
      <c r="C94" s="887" t="s">
        <v>3770</v>
      </c>
      <c r="D94" s="878">
        <v>6</v>
      </c>
      <c r="E94" s="153"/>
      <c r="F94" s="894">
        <f>D94*E94</f>
        <v>0</v>
      </c>
    </row>
    <row r="95" spans="1:6" s="874" customFormat="1" ht="12.75">
      <c r="A95" s="849"/>
      <c r="B95" s="750"/>
      <c r="C95" s="887"/>
      <c r="D95" s="878"/>
      <c r="E95" s="986"/>
      <c r="F95" s="878"/>
    </row>
    <row r="96" spans="1:6" s="874" customFormat="1" ht="12.75">
      <c r="A96" s="849" t="s">
        <v>4062</v>
      </c>
      <c r="B96" s="880" t="s">
        <v>4063</v>
      </c>
      <c r="C96" s="121"/>
      <c r="E96" s="994"/>
    </row>
    <row r="97" spans="1:6" s="874" customFormat="1" ht="22.5">
      <c r="A97" s="849"/>
      <c r="B97" s="918" t="s">
        <v>4064</v>
      </c>
      <c r="C97" s="121"/>
      <c r="E97" s="994"/>
    </row>
    <row r="98" spans="1:6" s="874" customFormat="1" ht="157.5">
      <c r="A98" s="849"/>
      <c r="B98" s="918" t="s">
        <v>4065</v>
      </c>
      <c r="C98" s="121"/>
      <c r="E98" s="994"/>
    </row>
    <row r="99" spans="1:6" s="874" customFormat="1" ht="45">
      <c r="A99" s="849"/>
      <c r="B99" s="919" t="s">
        <v>4066</v>
      </c>
      <c r="C99" s="887"/>
      <c r="D99" s="878"/>
      <c r="E99" s="995"/>
      <c r="F99" s="878"/>
    </row>
    <row r="100" spans="1:6" s="874" customFormat="1" ht="22.5">
      <c r="A100" s="849"/>
      <c r="B100" s="919" t="s">
        <v>4067</v>
      </c>
      <c r="C100" s="920" t="s">
        <v>3770</v>
      </c>
      <c r="D100" s="878">
        <v>1</v>
      </c>
      <c r="E100" s="153"/>
      <c r="F100" s="894">
        <f t="shared" ref="F100:F105" si="1">D100*E100</f>
        <v>0</v>
      </c>
    </row>
    <row r="101" spans="1:6" s="874" customFormat="1" ht="12.75">
      <c r="A101" s="849"/>
      <c r="B101" s="919" t="s">
        <v>4068</v>
      </c>
      <c r="C101" s="920" t="s">
        <v>3770</v>
      </c>
      <c r="D101" s="878">
        <v>1</v>
      </c>
      <c r="E101" s="153"/>
      <c r="F101" s="894">
        <f t="shared" si="1"/>
        <v>0</v>
      </c>
    </row>
    <row r="102" spans="1:6" s="874" customFormat="1" ht="12.75">
      <c r="A102" s="849"/>
      <c r="B102" s="919" t="s">
        <v>4069</v>
      </c>
      <c r="C102" s="920" t="s">
        <v>3770</v>
      </c>
      <c r="D102" s="878">
        <v>1</v>
      </c>
      <c r="E102" s="153"/>
      <c r="F102" s="894">
        <f t="shared" si="1"/>
        <v>0</v>
      </c>
    </row>
    <row r="103" spans="1:6" s="874" customFormat="1" ht="12.75">
      <c r="A103" s="849"/>
      <c r="B103" s="919" t="s">
        <v>4070</v>
      </c>
      <c r="C103" s="920" t="s">
        <v>3770</v>
      </c>
      <c r="D103" s="878">
        <v>3</v>
      </c>
      <c r="E103" s="153"/>
      <c r="F103" s="894">
        <f t="shared" si="1"/>
        <v>0</v>
      </c>
    </row>
    <row r="104" spans="1:6" s="874" customFormat="1" ht="45">
      <c r="A104" s="849"/>
      <c r="B104" s="919" t="s">
        <v>4071</v>
      </c>
      <c r="C104" s="920" t="s">
        <v>3770</v>
      </c>
      <c r="D104" s="878">
        <v>1</v>
      </c>
      <c r="E104" s="153"/>
      <c r="F104" s="894">
        <f t="shared" si="1"/>
        <v>0</v>
      </c>
    </row>
    <row r="105" spans="1:6" s="874" customFormat="1" ht="12.75">
      <c r="A105" s="849"/>
      <c r="B105" s="919" t="s">
        <v>4072</v>
      </c>
      <c r="C105" s="920" t="s">
        <v>3770</v>
      </c>
      <c r="D105" s="878">
        <v>1</v>
      </c>
      <c r="E105" s="153"/>
      <c r="F105" s="894">
        <f t="shared" si="1"/>
        <v>0</v>
      </c>
    </row>
    <row r="106" spans="1:6" s="874" customFormat="1" ht="12.75">
      <c r="A106" s="849"/>
      <c r="B106" s="750"/>
      <c r="C106" s="887"/>
      <c r="D106" s="878"/>
      <c r="E106" s="986"/>
      <c r="F106" s="878"/>
    </row>
    <row r="107" spans="1:6" s="874" customFormat="1" ht="12.75">
      <c r="A107" s="849" t="s">
        <v>4073</v>
      </c>
      <c r="B107" s="880" t="s">
        <v>4074</v>
      </c>
      <c r="C107" s="121"/>
      <c r="E107" s="994"/>
    </row>
    <row r="108" spans="1:6" s="874" customFormat="1" ht="78.75">
      <c r="A108" s="849"/>
      <c r="B108" s="918" t="s">
        <v>4075</v>
      </c>
      <c r="C108" s="121"/>
      <c r="E108" s="994"/>
    </row>
    <row r="109" spans="1:6" s="874" customFormat="1" ht="12.75">
      <c r="A109" s="849"/>
      <c r="B109" s="919" t="s">
        <v>4076</v>
      </c>
      <c r="C109" s="920" t="s">
        <v>3770</v>
      </c>
      <c r="D109" s="878">
        <v>5</v>
      </c>
      <c r="E109" s="153"/>
      <c r="F109" s="894">
        <f>D109*E109</f>
        <v>0</v>
      </c>
    </row>
    <row r="110" spans="1:6" s="874" customFormat="1" ht="12.75">
      <c r="A110" s="849"/>
      <c r="B110" s="919" t="s">
        <v>4077</v>
      </c>
      <c r="C110" s="920" t="s">
        <v>3770</v>
      </c>
      <c r="D110" s="878">
        <v>1</v>
      </c>
      <c r="E110" s="153"/>
      <c r="F110" s="894">
        <f>D110*E110</f>
        <v>0</v>
      </c>
    </row>
    <row r="111" spans="1:6" s="874" customFormat="1" ht="12.75">
      <c r="A111" s="849"/>
      <c r="B111" s="919" t="s">
        <v>4078</v>
      </c>
      <c r="C111" s="920" t="s">
        <v>3770</v>
      </c>
      <c r="D111" s="878">
        <v>1</v>
      </c>
      <c r="E111" s="153"/>
      <c r="F111" s="894">
        <f>D111*E111</f>
        <v>0</v>
      </c>
    </row>
    <row r="112" spans="1:6" s="874" customFormat="1" ht="22.5">
      <c r="A112" s="849"/>
      <c r="B112" s="919" t="s">
        <v>4079</v>
      </c>
      <c r="C112" s="920" t="s">
        <v>3770</v>
      </c>
      <c r="D112" s="878">
        <v>1</v>
      </c>
      <c r="E112" s="153"/>
      <c r="F112" s="894">
        <f>D112*E112</f>
        <v>0</v>
      </c>
    </row>
    <row r="113" spans="1:6" ht="12.75">
      <c r="A113" s="921"/>
      <c r="B113" s="921"/>
      <c r="C113" s="922"/>
      <c r="D113" s="923"/>
      <c r="E113" s="996"/>
      <c r="F113" s="924"/>
    </row>
    <row r="114" spans="1:6" ht="12.75">
      <c r="A114" s="793" t="s">
        <v>4080</v>
      </c>
      <c r="B114" s="895" t="s">
        <v>4081</v>
      </c>
      <c r="C114" s="922"/>
      <c r="D114" s="923"/>
      <c r="E114" s="996"/>
      <c r="F114" s="924"/>
    </row>
    <row r="115" spans="1:6" ht="33.75">
      <c r="A115" s="921"/>
      <c r="B115" s="925" t="s">
        <v>4082</v>
      </c>
      <c r="C115" s="922"/>
      <c r="D115" s="923"/>
      <c r="E115" s="996"/>
      <c r="F115" s="924"/>
    </row>
    <row r="116" spans="1:6" ht="13.5">
      <c r="A116" s="926"/>
      <c r="B116" s="861"/>
      <c r="C116" s="862" t="s">
        <v>3967</v>
      </c>
      <c r="D116" s="923">
        <v>1</v>
      </c>
      <c r="E116" s="155"/>
      <c r="F116" s="910">
        <f>D116*E116</f>
        <v>0</v>
      </c>
    </row>
    <row r="117" spans="1:6" ht="12.75">
      <c r="A117" s="921"/>
      <c r="B117" s="921"/>
      <c r="C117" s="922"/>
      <c r="D117" s="923"/>
      <c r="E117" s="996"/>
      <c r="F117" s="924"/>
    </row>
    <row r="118" spans="1:6" ht="12.75">
      <c r="A118" s="793" t="s">
        <v>4083</v>
      </c>
      <c r="B118" s="895" t="s">
        <v>4084</v>
      </c>
      <c r="C118" s="922"/>
      <c r="D118" s="923"/>
      <c r="E118" s="996"/>
      <c r="F118" s="924"/>
    </row>
    <row r="119" spans="1:6" ht="67.5">
      <c r="A119" s="921"/>
      <c r="B119" s="925" t="s">
        <v>4085</v>
      </c>
      <c r="C119" s="922"/>
      <c r="D119" s="923"/>
      <c r="E119" s="996"/>
      <c r="F119" s="924"/>
    </row>
    <row r="120" spans="1:6" ht="13.5">
      <c r="A120" s="926"/>
      <c r="B120" s="861" t="s">
        <v>4086</v>
      </c>
      <c r="C120" s="922" t="s">
        <v>1184</v>
      </c>
      <c r="D120" s="923">
        <v>460</v>
      </c>
      <c r="E120" s="155"/>
      <c r="F120" s="910">
        <f>D120*E120</f>
        <v>0</v>
      </c>
    </row>
    <row r="121" spans="1:6" ht="12.75">
      <c r="A121" s="921"/>
      <c r="B121" s="921"/>
      <c r="C121" s="922"/>
      <c r="D121" s="923"/>
      <c r="E121" s="996"/>
      <c r="F121" s="924"/>
    </row>
    <row r="122" spans="1:6" ht="12.75">
      <c r="A122" s="793" t="s">
        <v>4087</v>
      </c>
      <c r="B122" s="895" t="s">
        <v>4088</v>
      </c>
      <c r="C122" s="922"/>
      <c r="D122" s="923"/>
      <c r="E122" s="996"/>
      <c r="F122" s="924"/>
    </row>
    <row r="123" spans="1:6" ht="56.25">
      <c r="A123" s="921"/>
      <c r="B123" s="925" t="s">
        <v>4089</v>
      </c>
      <c r="C123" s="922"/>
      <c r="D123" s="923"/>
      <c r="E123" s="996"/>
      <c r="F123" s="924"/>
    </row>
    <row r="124" spans="1:6" ht="13.5">
      <c r="A124" s="926"/>
      <c r="B124" s="861" t="s">
        <v>4086</v>
      </c>
      <c r="C124" s="922" t="s">
        <v>1184</v>
      </c>
      <c r="D124" s="923">
        <v>60</v>
      </c>
      <c r="E124" s="155"/>
      <c r="F124" s="910">
        <f>D124*E124</f>
        <v>0</v>
      </c>
    </row>
    <row r="125" spans="1:6" ht="12.75">
      <c r="A125" s="921"/>
      <c r="B125" s="921"/>
      <c r="C125" s="922"/>
      <c r="D125" s="923"/>
      <c r="E125" s="996"/>
      <c r="F125" s="924"/>
    </row>
    <row r="126" spans="1:6" ht="12.75">
      <c r="A126" s="793" t="s">
        <v>4090</v>
      </c>
      <c r="B126" s="895" t="s">
        <v>4091</v>
      </c>
      <c r="C126" s="922"/>
      <c r="D126" s="923"/>
      <c r="E126" s="996"/>
      <c r="F126" s="924"/>
    </row>
    <row r="127" spans="1:6" ht="45">
      <c r="A127" s="921"/>
      <c r="B127" s="925" t="s">
        <v>4092</v>
      </c>
      <c r="C127" s="922"/>
      <c r="D127" s="923"/>
      <c r="E127" s="996"/>
      <c r="F127" s="924"/>
    </row>
    <row r="128" spans="1:6" ht="13.5">
      <c r="A128" s="926"/>
      <c r="B128" s="861"/>
      <c r="C128" s="920" t="s">
        <v>3770</v>
      </c>
      <c r="D128" s="923">
        <v>1</v>
      </c>
      <c r="E128" s="155"/>
      <c r="F128" s="910">
        <f>D128*E128</f>
        <v>0</v>
      </c>
    </row>
    <row r="129" spans="1:6" ht="12.75">
      <c r="A129" s="921"/>
      <c r="B129" s="921"/>
      <c r="C129" s="922"/>
      <c r="D129" s="923"/>
      <c r="E129" s="996"/>
      <c r="F129" s="924"/>
    </row>
    <row r="130" spans="1:6" ht="12.75">
      <c r="A130" s="793" t="s">
        <v>4093</v>
      </c>
      <c r="B130" s="895" t="s">
        <v>4094</v>
      </c>
      <c r="C130" s="922"/>
      <c r="D130" s="923"/>
      <c r="E130" s="996"/>
      <c r="F130" s="924"/>
    </row>
    <row r="131" spans="1:6" ht="45">
      <c r="A131" s="921"/>
      <c r="B131" s="925" t="s">
        <v>4095</v>
      </c>
      <c r="C131" s="922"/>
      <c r="D131" s="923"/>
      <c r="E131" s="996"/>
      <c r="F131" s="924"/>
    </row>
    <row r="132" spans="1:6" ht="13.5">
      <c r="A132" s="926"/>
      <c r="B132" s="861"/>
      <c r="C132" s="920" t="s">
        <v>3770</v>
      </c>
      <c r="D132" s="923">
        <v>15</v>
      </c>
      <c r="E132" s="155"/>
      <c r="F132" s="910">
        <f>D132*E132</f>
        <v>0</v>
      </c>
    </row>
    <row r="133" spans="1:6" ht="12.75">
      <c r="A133" s="921"/>
      <c r="B133" s="921"/>
      <c r="C133" s="922"/>
      <c r="D133" s="923"/>
      <c r="E133" s="996"/>
      <c r="F133" s="924"/>
    </row>
    <row r="134" spans="1:6" ht="12.75">
      <c r="A134" s="793" t="s">
        <v>4096</v>
      </c>
      <c r="B134" s="895" t="s">
        <v>4097</v>
      </c>
      <c r="C134" s="922"/>
      <c r="D134" s="923"/>
      <c r="E134" s="996"/>
      <c r="F134" s="924"/>
    </row>
    <row r="135" spans="1:6" ht="67.5">
      <c r="A135" s="921"/>
      <c r="B135" s="925" t="s">
        <v>4098</v>
      </c>
      <c r="C135" s="922"/>
      <c r="D135" s="923"/>
      <c r="E135" s="996"/>
      <c r="F135" s="924"/>
    </row>
    <row r="136" spans="1:6" ht="13.5">
      <c r="A136" s="926"/>
      <c r="B136" s="861"/>
      <c r="C136" s="922" t="s">
        <v>3770</v>
      </c>
      <c r="D136" s="923">
        <v>1</v>
      </c>
      <c r="E136" s="155"/>
      <c r="F136" s="910">
        <f>D136*E136</f>
        <v>0</v>
      </c>
    </row>
    <row r="137" spans="1:6" ht="13.5" thickBot="1">
      <c r="A137" s="885"/>
      <c r="B137" s="927"/>
      <c r="C137" s="927"/>
      <c r="D137" s="927"/>
      <c r="E137" s="997"/>
      <c r="F137" s="928"/>
    </row>
    <row r="138" spans="1:6" ht="13.5" thickBot="1">
      <c r="A138" s="929" t="s">
        <v>978</v>
      </c>
      <c r="B138" s="822" t="s">
        <v>4099</v>
      </c>
      <c r="C138" s="822"/>
      <c r="D138" s="822" t="s">
        <v>3989</v>
      </c>
      <c r="E138" s="846"/>
      <c r="F138" s="823">
        <f>SUM(F6:F137)</f>
        <v>0</v>
      </c>
    </row>
    <row r="139" spans="1:6" ht="12.75">
      <c r="A139" s="850"/>
      <c r="B139" s="850"/>
      <c r="C139" s="850"/>
      <c r="D139" s="850"/>
      <c r="E139" s="850"/>
      <c r="F139" s="850"/>
    </row>
    <row r="140" spans="1:6" ht="12.75">
      <c r="A140" s="824"/>
      <c r="B140" s="930"/>
      <c r="F140" s="78"/>
    </row>
    <row r="141" spans="1:6" ht="12.75">
      <c r="A141" s="824"/>
      <c r="B141" s="930"/>
      <c r="F141" s="78"/>
    </row>
    <row r="142" spans="1:6">
      <c r="A142" s="824"/>
      <c r="B142" s="112"/>
      <c r="C142" s="931"/>
      <c r="D142" s="132"/>
      <c r="E142" s="932"/>
      <c r="F142" s="933"/>
    </row>
    <row r="143" spans="1:6" ht="15.75">
      <c r="A143" s="824"/>
      <c r="B143" s="112"/>
      <c r="C143" s="84"/>
      <c r="D143" s="132"/>
      <c r="E143" s="133"/>
      <c r="F143" s="826"/>
    </row>
    <row r="144" spans="1:6" ht="15.75">
      <c r="A144" s="885"/>
      <c r="B144" s="934"/>
      <c r="C144" s="136"/>
      <c r="D144" s="132"/>
      <c r="E144" s="133"/>
      <c r="F144" s="935"/>
    </row>
    <row r="145" spans="1:6" ht="15.75">
      <c r="A145" s="131"/>
      <c r="B145" s="930"/>
      <c r="C145" s="94"/>
      <c r="D145" s="132"/>
      <c r="E145" s="133"/>
      <c r="F145" s="826"/>
    </row>
    <row r="146" spans="1:6" ht="15.75">
      <c r="A146" s="830"/>
      <c r="B146" s="936"/>
      <c r="C146" s="94"/>
      <c r="D146" s="132"/>
      <c r="E146" s="133"/>
      <c r="F146" s="826"/>
    </row>
    <row r="147" spans="1:6" ht="15.75">
      <c r="A147" s="131"/>
      <c r="B147" s="930"/>
      <c r="C147" s="828"/>
      <c r="D147" s="132"/>
      <c r="E147" s="133"/>
      <c r="F147" s="826"/>
    </row>
    <row r="148" spans="1:6" ht="15.75">
      <c r="A148" s="824"/>
      <c r="B148" s="112"/>
      <c r="C148" s="84"/>
      <c r="D148" s="132"/>
      <c r="E148" s="133"/>
      <c r="F148" s="826"/>
    </row>
    <row r="149" spans="1:6" ht="15.75">
      <c r="A149" s="885"/>
      <c r="B149" s="937"/>
      <c r="C149" s="136"/>
      <c r="D149" s="132"/>
      <c r="E149" s="133"/>
      <c r="F149" s="935"/>
    </row>
    <row r="150" spans="1:6" ht="15.75">
      <c r="A150" s="131"/>
      <c r="B150" s="938"/>
      <c r="C150" s="94"/>
      <c r="D150" s="132"/>
      <c r="E150" s="133"/>
      <c r="F150" s="826"/>
    </row>
    <row r="151" spans="1:6" ht="15.75">
      <c r="A151" s="131"/>
      <c r="B151" s="938"/>
      <c r="C151" s="94"/>
      <c r="D151" s="132"/>
      <c r="E151" s="133"/>
      <c r="F151" s="826"/>
    </row>
    <row r="152" spans="1:6" ht="12.75">
      <c r="A152" s="830"/>
      <c r="B152" s="135"/>
      <c r="C152" s="939"/>
      <c r="D152" s="940"/>
      <c r="E152" s="932"/>
      <c r="F152" s="933"/>
    </row>
    <row r="153" spans="1:6" ht="15.75">
      <c r="A153" s="131"/>
      <c r="B153" s="827"/>
      <c r="C153" s="828"/>
      <c r="D153" s="132"/>
      <c r="E153" s="133"/>
      <c r="F153" s="826"/>
    </row>
    <row r="154" spans="1:6" ht="12.75">
      <c r="A154" s="885"/>
      <c r="B154" s="941"/>
      <c r="C154" s="88"/>
      <c r="D154" s="88"/>
      <c r="E154" s="88"/>
      <c r="F154" s="88"/>
    </row>
    <row r="155" spans="1:6" ht="12.75">
      <c r="A155" s="134"/>
      <c r="B155" s="750"/>
      <c r="C155" s="942"/>
      <c r="D155" s="943"/>
      <c r="E155" s="943"/>
      <c r="F155" s="933"/>
    </row>
    <row r="156" spans="1:6" ht="12.75">
      <c r="A156" s="88"/>
      <c r="B156" s="750"/>
      <c r="C156" s="944"/>
      <c r="D156" s="945"/>
      <c r="E156" s="946"/>
      <c r="F156" s="946"/>
    </row>
    <row r="157" spans="1:6" ht="12.75">
      <c r="A157" s="88"/>
      <c r="B157" s="750"/>
      <c r="C157" s="944"/>
      <c r="D157" s="947"/>
      <c r="E157" s="946"/>
      <c r="F157" s="933"/>
    </row>
    <row r="158" spans="1:6" ht="12.75">
      <c r="A158" s="88"/>
      <c r="B158" s="885"/>
      <c r="C158" s="948"/>
      <c r="D158" s="949"/>
      <c r="E158" s="950"/>
      <c r="F158" s="950"/>
    </row>
    <row r="159" spans="1:6" ht="12.75">
      <c r="A159" s="885"/>
      <c r="B159" s="951"/>
      <c r="C159" s="88"/>
      <c r="D159" s="88"/>
      <c r="E159" s="88"/>
      <c r="F159" s="88"/>
    </row>
    <row r="160" spans="1:6" ht="12.75">
      <c r="A160" s="88"/>
      <c r="B160" s="749"/>
      <c r="C160" s="948"/>
      <c r="D160" s="949"/>
      <c r="E160" s="950"/>
      <c r="F160" s="950"/>
    </row>
    <row r="161" spans="1:6" ht="12.75">
      <c r="A161" s="88"/>
      <c r="B161" s="749"/>
      <c r="C161" s="942"/>
      <c r="D161" s="942"/>
      <c r="E161" s="942"/>
      <c r="F161" s="942"/>
    </row>
    <row r="162" spans="1:6" ht="12.75">
      <c r="A162" s="88"/>
      <c r="B162" s="749"/>
      <c r="C162" s="948"/>
      <c r="D162" s="947"/>
      <c r="E162" s="950"/>
      <c r="F162" s="933"/>
    </row>
    <row r="163" spans="1:6">
      <c r="A163" s="88"/>
      <c r="B163" s="88"/>
      <c r="C163" s="88"/>
      <c r="D163" s="88"/>
      <c r="E163" s="88"/>
      <c r="F163" s="141"/>
    </row>
    <row r="164" spans="1:6" ht="12.75">
      <c r="A164" s="885"/>
      <c r="B164" s="952"/>
      <c r="C164" s="88"/>
      <c r="D164" s="88"/>
      <c r="E164" s="88"/>
      <c r="F164" s="88"/>
    </row>
    <row r="165" spans="1:6" ht="12.75">
      <c r="A165" s="88"/>
      <c r="B165" s="953"/>
      <c r="C165" s="942"/>
      <c r="D165" s="942"/>
      <c r="E165" s="942"/>
      <c r="F165" s="942"/>
    </row>
    <row r="166" spans="1:6" ht="12.75">
      <c r="A166" s="88"/>
      <c r="B166" s="749"/>
      <c r="C166" s="942"/>
      <c r="D166" s="942"/>
      <c r="E166" s="942"/>
      <c r="F166" s="942"/>
    </row>
    <row r="167" spans="1:6" ht="12.75">
      <c r="A167" s="88"/>
      <c r="B167" s="749"/>
      <c r="C167" s="948"/>
      <c r="D167" s="947"/>
      <c r="E167" s="950"/>
      <c r="F167" s="933"/>
    </row>
    <row r="168" spans="1:6">
      <c r="A168" s="88"/>
      <c r="B168" s="88"/>
      <c r="C168" s="88"/>
      <c r="D168" s="88"/>
      <c r="E168" s="88"/>
      <c r="F168" s="141"/>
    </row>
    <row r="169" spans="1:6" ht="12.75">
      <c r="A169" s="885"/>
      <c r="B169" s="954"/>
      <c r="C169" s="955"/>
      <c r="D169" s="956"/>
      <c r="E169" s="957"/>
      <c r="F169" s="958"/>
    </row>
    <row r="170" spans="1:6" ht="12.75">
      <c r="A170" s="959"/>
      <c r="B170" s="960"/>
      <c r="C170" s="955"/>
      <c r="D170" s="956"/>
      <c r="E170" s="961"/>
      <c r="F170" s="962"/>
    </row>
    <row r="171" spans="1:6" ht="12.75">
      <c r="A171" s="959"/>
      <c r="B171" s="960"/>
      <c r="C171" s="955"/>
      <c r="D171" s="963"/>
      <c r="E171" s="961"/>
      <c r="F171" s="962"/>
    </row>
    <row r="172" spans="1:6" ht="12.75">
      <c r="A172" s="959"/>
      <c r="B172" s="960"/>
      <c r="C172" s="964"/>
      <c r="D172" s="963"/>
      <c r="E172" s="965"/>
      <c r="F172" s="933"/>
    </row>
    <row r="173" spans="1:6" ht="12.75">
      <c r="A173" s="959"/>
      <c r="B173" s="960"/>
      <c r="C173" s="964"/>
      <c r="D173" s="963"/>
      <c r="E173" s="965"/>
      <c r="F173" s="933"/>
    </row>
    <row r="174" spans="1:6" ht="12.75">
      <c r="A174" s="959"/>
      <c r="B174" s="960"/>
      <c r="C174" s="964"/>
      <c r="D174" s="963"/>
      <c r="E174" s="965"/>
      <c r="F174" s="933"/>
    </row>
    <row r="175" spans="1:6" ht="12.75">
      <c r="A175" s="959"/>
      <c r="B175" s="960"/>
      <c r="C175" s="964"/>
      <c r="D175" s="963"/>
      <c r="E175" s="965"/>
      <c r="F175" s="933"/>
    </row>
    <row r="176" spans="1:6">
      <c r="A176" s="88"/>
      <c r="B176" s="88"/>
      <c r="C176" s="88"/>
      <c r="D176" s="88"/>
      <c r="E176" s="88"/>
      <c r="F176" s="141"/>
    </row>
    <row r="177" spans="1:6">
      <c r="A177" s="885"/>
      <c r="B177" s="966"/>
    </row>
    <row r="178" spans="1:6" ht="12.75">
      <c r="A178" s="967"/>
      <c r="B178" s="968"/>
      <c r="C178" s="969"/>
      <c r="D178" s="970"/>
      <c r="E178" s="969"/>
      <c r="F178" s="969"/>
    </row>
    <row r="179" spans="1:6" ht="12.75">
      <c r="A179" s="971"/>
      <c r="B179" s="968"/>
      <c r="C179" s="969"/>
      <c r="D179" s="970"/>
      <c r="E179" s="969"/>
      <c r="F179" s="969"/>
    </row>
    <row r="180" spans="1:6" ht="12.75">
      <c r="B180" s="960"/>
      <c r="C180" s="948"/>
      <c r="D180" s="972"/>
      <c r="E180" s="950"/>
      <c r="F180" s="933"/>
    </row>
    <row r="182" spans="1:6">
      <c r="A182" s="885"/>
      <c r="B182" s="973"/>
    </row>
    <row r="183" spans="1:6" ht="12.75">
      <c r="A183" s="974"/>
      <c r="B183" s="975"/>
      <c r="C183" s="948"/>
      <c r="D183" s="976"/>
      <c r="E183" s="977"/>
      <c r="F183" s="977"/>
    </row>
    <row r="184" spans="1:6" ht="12.75">
      <c r="A184" s="974"/>
      <c r="B184" s="975"/>
      <c r="C184" s="948"/>
      <c r="D184" s="976"/>
      <c r="E184" s="977"/>
      <c r="F184" s="977"/>
    </row>
    <row r="185" spans="1:6" ht="12.75">
      <c r="C185" s="948"/>
      <c r="D185" s="976"/>
      <c r="E185" s="950"/>
      <c r="F185" s="933"/>
    </row>
    <row r="187" spans="1:6" ht="12.75">
      <c r="A187" s="978"/>
      <c r="B187" s="979"/>
      <c r="C187" s="980"/>
      <c r="D187" s="981"/>
      <c r="E187" s="980"/>
      <c r="F187" s="982"/>
    </row>
  </sheetData>
  <sheetProtection algorithmName="SHA-512" hashValue="nfx0QtM0ZhroHB0Ne7hElsDWWgcbNyuTlxEtbS7ahP4Oi8WziAxUCx1/mSThDVI8Zg5fjo3rwgF0AI6w65fx/Q==" saltValue="IyqXY4DOELH+Z6n9n5bzXg==" spinCount="100000" sheet="1" objects="1" scenarios="1"/>
  <protectedRanges>
    <protectedRange sqref="E6:F7" name="Range1_56"/>
    <protectedRange sqref="E63:F65" name="Range1_4"/>
    <protectedRange sqref="E71:F72" name="Range1_52"/>
    <protectedRange sqref="E59:F61" name="Range1_2_1"/>
    <protectedRange sqref="E74:F76" name="Range1_44"/>
    <protectedRange sqref="E79:F81" name="Range1_32_1"/>
  </protectedRanges>
  <mergeCells count="2">
    <mergeCell ref="B1:F1"/>
    <mergeCell ref="A2:F2"/>
  </mergeCells>
  <printOptions horizontalCentered="1" gridLinesSet="0"/>
  <pageMargins left="0.59055118110236227" right="0.19685039370078741" top="0.39370078740157483" bottom="0.39370078740157483" header="0.47244094488188981" footer="0.51181102362204722"/>
  <pageSetup paperSize="9" scale="95" orientation="portrait" r:id="rId1"/>
  <headerFooter alignWithMargins="0">
    <oddFooter>&amp;L&amp;8 3. HIDROTEHNIČKE INSTALACIJE&amp;R&amp;8&amp;P</oddFooter>
  </headerFooter>
  <rowBreaks count="4" manualBreakCount="4">
    <brk id="25" max="5" man="1"/>
    <brk id="94" max="5" man="1"/>
    <brk id="112" max="5" man="1"/>
    <brk id="139"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M138"/>
  <sheetViews>
    <sheetView showGridLines="0" showZeros="0" zoomScaleNormal="100" zoomScaleSheetLayoutView="100" workbookViewId="0">
      <selection activeCell="D10" sqref="D10"/>
    </sheetView>
  </sheetViews>
  <sheetFormatPr defaultRowHeight="15"/>
  <cols>
    <col min="1" max="1" width="7.7109375" style="78" customWidth="1"/>
    <col min="2" max="2" width="50.7109375" style="78" customWidth="1"/>
    <col min="3" max="3" width="9" style="78" customWidth="1"/>
    <col min="4" max="4" width="8.7109375" style="78" customWidth="1"/>
    <col min="5" max="5" width="7.85546875" style="78" customWidth="1"/>
    <col min="6" max="6" width="10.7109375" style="142" customWidth="1"/>
    <col min="7" max="256" width="9.140625" style="78"/>
    <col min="257" max="257" width="7.7109375" style="78" customWidth="1"/>
    <col min="258" max="258" width="50.7109375" style="78" customWidth="1"/>
    <col min="259" max="259" width="9" style="78" customWidth="1"/>
    <col min="260" max="260" width="8.7109375" style="78" customWidth="1"/>
    <col min="261" max="261" width="7.85546875" style="78" customWidth="1"/>
    <col min="262" max="262" width="10.7109375" style="78" customWidth="1"/>
    <col min="263" max="512" width="9.140625" style="78"/>
    <col min="513" max="513" width="7.7109375" style="78" customWidth="1"/>
    <col min="514" max="514" width="50.7109375" style="78" customWidth="1"/>
    <col min="515" max="515" width="9" style="78" customWidth="1"/>
    <col min="516" max="516" width="8.7109375" style="78" customWidth="1"/>
    <col min="517" max="517" width="7.85546875" style="78" customWidth="1"/>
    <col min="518" max="518" width="10.7109375" style="78" customWidth="1"/>
    <col min="519" max="768" width="9.140625" style="78"/>
    <col min="769" max="769" width="7.7109375" style="78" customWidth="1"/>
    <col min="770" max="770" width="50.7109375" style="78" customWidth="1"/>
    <col min="771" max="771" width="9" style="78" customWidth="1"/>
    <col min="772" max="772" width="8.7109375" style="78" customWidth="1"/>
    <col min="773" max="773" width="7.85546875" style="78" customWidth="1"/>
    <col min="774" max="774" width="10.7109375" style="78" customWidth="1"/>
    <col min="775" max="1024" width="9.140625" style="78"/>
    <col min="1025" max="1025" width="7.7109375" style="78" customWidth="1"/>
    <col min="1026" max="1026" width="50.7109375" style="78" customWidth="1"/>
    <col min="1027" max="1027" width="9" style="78" customWidth="1"/>
    <col min="1028" max="1028" width="8.7109375" style="78" customWidth="1"/>
    <col min="1029" max="1029" width="7.85546875" style="78" customWidth="1"/>
    <col min="1030" max="1030" width="10.7109375" style="78" customWidth="1"/>
    <col min="1031" max="1280" width="9.140625" style="78"/>
    <col min="1281" max="1281" width="7.7109375" style="78" customWidth="1"/>
    <col min="1282" max="1282" width="50.7109375" style="78" customWidth="1"/>
    <col min="1283" max="1283" width="9" style="78" customWidth="1"/>
    <col min="1284" max="1284" width="8.7109375" style="78" customWidth="1"/>
    <col min="1285" max="1285" width="7.85546875" style="78" customWidth="1"/>
    <col min="1286" max="1286" width="10.7109375" style="78" customWidth="1"/>
    <col min="1287" max="1536" width="9.140625" style="78"/>
    <col min="1537" max="1537" width="7.7109375" style="78" customWidth="1"/>
    <col min="1538" max="1538" width="50.7109375" style="78" customWidth="1"/>
    <col min="1539" max="1539" width="9" style="78" customWidth="1"/>
    <col min="1540" max="1540" width="8.7109375" style="78" customWidth="1"/>
    <col min="1541" max="1541" width="7.85546875" style="78" customWidth="1"/>
    <col min="1542" max="1542" width="10.7109375" style="78" customWidth="1"/>
    <col min="1543" max="1792" width="9.140625" style="78"/>
    <col min="1793" max="1793" width="7.7109375" style="78" customWidth="1"/>
    <col min="1794" max="1794" width="50.7109375" style="78" customWidth="1"/>
    <col min="1795" max="1795" width="9" style="78" customWidth="1"/>
    <col min="1796" max="1796" width="8.7109375" style="78" customWidth="1"/>
    <col min="1797" max="1797" width="7.85546875" style="78" customWidth="1"/>
    <col min="1798" max="1798" width="10.7109375" style="78" customWidth="1"/>
    <col min="1799" max="2048" width="9.140625" style="78"/>
    <col min="2049" max="2049" width="7.7109375" style="78" customWidth="1"/>
    <col min="2050" max="2050" width="50.7109375" style="78" customWidth="1"/>
    <col min="2051" max="2051" width="9" style="78" customWidth="1"/>
    <col min="2052" max="2052" width="8.7109375" style="78" customWidth="1"/>
    <col min="2053" max="2053" width="7.85546875" style="78" customWidth="1"/>
    <col min="2054" max="2054" width="10.7109375" style="78" customWidth="1"/>
    <col min="2055" max="2304" width="9.140625" style="78"/>
    <col min="2305" max="2305" width="7.7109375" style="78" customWidth="1"/>
    <col min="2306" max="2306" width="50.7109375" style="78" customWidth="1"/>
    <col min="2307" max="2307" width="9" style="78" customWidth="1"/>
    <col min="2308" max="2308" width="8.7109375" style="78" customWidth="1"/>
    <col min="2309" max="2309" width="7.85546875" style="78" customWidth="1"/>
    <col min="2310" max="2310" width="10.7109375" style="78" customWidth="1"/>
    <col min="2311" max="2560" width="9.140625" style="78"/>
    <col min="2561" max="2561" width="7.7109375" style="78" customWidth="1"/>
    <col min="2562" max="2562" width="50.7109375" style="78" customWidth="1"/>
    <col min="2563" max="2563" width="9" style="78" customWidth="1"/>
    <col min="2564" max="2564" width="8.7109375" style="78" customWidth="1"/>
    <col min="2565" max="2565" width="7.85546875" style="78" customWidth="1"/>
    <col min="2566" max="2566" width="10.7109375" style="78" customWidth="1"/>
    <col min="2567" max="2816" width="9.140625" style="78"/>
    <col min="2817" max="2817" width="7.7109375" style="78" customWidth="1"/>
    <col min="2818" max="2818" width="50.7109375" style="78" customWidth="1"/>
    <col min="2819" max="2819" width="9" style="78" customWidth="1"/>
    <col min="2820" max="2820" width="8.7109375" style="78" customWidth="1"/>
    <col min="2821" max="2821" width="7.85546875" style="78" customWidth="1"/>
    <col min="2822" max="2822" width="10.7109375" style="78" customWidth="1"/>
    <col min="2823" max="3072" width="9.140625" style="78"/>
    <col min="3073" max="3073" width="7.7109375" style="78" customWidth="1"/>
    <col min="3074" max="3074" width="50.7109375" style="78" customWidth="1"/>
    <col min="3075" max="3075" width="9" style="78" customWidth="1"/>
    <col min="3076" max="3076" width="8.7109375" style="78" customWidth="1"/>
    <col min="3077" max="3077" width="7.85546875" style="78" customWidth="1"/>
    <col min="3078" max="3078" width="10.7109375" style="78" customWidth="1"/>
    <col min="3079" max="3328" width="9.140625" style="78"/>
    <col min="3329" max="3329" width="7.7109375" style="78" customWidth="1"/>
    <col min="3330" max="3330" width="50.7109375" style="78" customWidth="1"/>
    <col min="3331" max="3331" width="9" style="78" customWidth="1"/>
    <col min="3332" max="3332" width="8.7109375" style="78" customWidth="1"/>
    <col min="3333" max="3333" width="7.85546875" style="78" customWidth="1"/>
    <col min="3334" max="3334" width="10.7109375" style="78" customWidth="1"/>
    <col min="3335" max="3584" width="9.140625" style="78"/>
    <col min="3585" max="3585" width="7.7109375" style="78" customWidth="1"/>
    <col min="3586" max="3586" width="50.7109375" style="78" customWidth="1"/>
    <col min="3587" max="3587" width="9" style="78" customWidth="1"/>
    <col min="3588" max="3588" width="8.7109375" style="78" customWidth="1"/>
    <col min="3589" max="3589" width="7.85546875" style="78" customWidth="1"/>
    <col min="3590" max="3590" width="10.7109375" style="78" customWidth="1"/>
    <col min="3591" max="3840" width="9.140625" style="78"/>
    <col min="3841" max="3841" width="7.7109375" style="78" customWidth="1"/>
    <col min="3842" max="3842" width="50.7109375" style="78" customWidth="1"/>
    <col min="3843" max="3843" width="9" style="78" customWidth="1"/>
    <col min="3844" max="3844" width="8.7109375" style="78" customWidth="1"/>
    <col min="3845" max="3845" width="7.85546875" style="78" customWidth="1"/>
    <col min="3846" max="3846" width="10.7109375" style="78" customWidth="1"/>
    <col min="3847" max="4096" width="9.140625" style="78"/>
    <col min="4097" max="4097" width="7.7109375" style="78" customWidth="1"/>
    <col min="4098" max="4098" width="50.7109375" style="78" customWidth="1"/>
    <col min="4099" max="4099" width="9" style="78" customWidth="1"/>
    <col min="4100" max="4100" width="8.7109375" style="78" customWidth="1"/>
    <col min="4101" max="4101" width="7.85546875" style="78" customWidth="1"/>
    <col min="4102" max="4102" width="10.7109375" style="78" customWidth="1"/>
    <col min="4103" max="4352" width="9.140625" style="78"/>
    <col min="4353" max="4353" width="7.7109375" style="78" customWidth="1"/>
    <col min="4354" max="4354" width="50.7109375" style="78" customWidth="1"/>
    <col min="4355" max="4355" width="9" style="78" customWidth="1"/>
    <col min="4356" max="4356" width="8.7109375" style="78" customWidth="1"/>
    <col min="4357" max="4357" width="7.85546875" style="78" customWidth="1"/>
    <col min="4358" max="4358" width="10.7109375" style="78" customWidth="1"/>
    <col min="4359" max="4608" width="9.140625" style="78"/>
    <col min="4609" max="4609" width="7.7109375" style="78" customWidth="1"/>
    <col min="4610" max="4610" width="50.7109375" style="78" customWidth="1"/>
    <col min="4611" max="4611" width="9" style="78" customWidth="1"/>
    <col min="4612" max="4612" width="8.7109375" style="78" customWidth="1"/>
    <col min="4613" max="4613" width="7.85546875" style="78" customWidth="1"/>
    <col min="4614" max="4614" width="10.7109375" style="78" customWidth="1"/>
    <col min="4615" max="4864" width="9.140625" style="78"/>
    <col min="4865" max="4865" width="7.7109375" style="78" customWidth="1"/>
    <col min="4866" max="4866" width="50.7109375" style="78" customWidth="1"/>
    <col min="4867" max="4867" width="9" style="78" customWidth="1"/>
    <col min="4868" max="4868" width="8.7109375" style="78" customWidth="1"/>
    <col min="4869" max="4869" width="7.85546875" style="78" customWidth="1"/>
    <col min="4870" max="4870" width="10.7109375" style="78" customWidth="1"/>
    <col min="4871" max="5120" width="9.140625" style="78"/>
    <col min="5121" max="5121" width="7.7109375" style="78" customWidth="1"/>
    <col min="5122" max="5122" width="50.7109375" style="78" customWidth="1"/>
    <col min="5123" max="5123" width="9" style="78" customWidth="1"/>
    <col min="5124" max="5124" width="8.7109375" style="78" customWidth="1"/>
    <col min="5125" max="5125" width="7.85546875" style="78" customWidth="1"/>
    <col min="5126" max="5126" width="10.7109375" style="78" customWidth="1"/>
    <col min="5127" max="5376" width="9.140625" style="78"/>
    <col min="5377" max="5377" width="7.7109375" style="78" customWidth="1"/>
    <col min="5378" max="5378" width="50.7109375" style="78" customWidth="1"/>
    <col min="5379" max="5379" width="9" style="78" customWidth="1"/>
    <col min="5380" max="5380" width="8.7109375" style="78" customWidth="1"/>
    <col min="5381" max="5381" width="7.85546875" style="78" customWidth="1"/>
    <col min="5382" max="5382" width="10.7109375" style="78" customWidth="1"/>
    <col min="5383" max="5632" width="9.140625" style="78"/>
    <col min="5633" max="5633" width="7.7109375" style="78" customWidth="1"/>
    <col min="5634" max="5634" width="50.7109375" style="78" customWidth="1"/>
    <col min="5635" max="5635" width="9" style="78" customWidth="1"/>
    <col min="5636" max="5636" width="8.7109375" style="78" customWidth="1"/>
    <col min="5637" max="5637" width="7.85546875" style="78" customWidth="1"/>
    <col min="5638" max="5638" width="10.7109375" style="78" customWidth="1"/>
    <col min="5639" max="5888" width="9.140625" style="78"/>
    <col min="5889" max="5889" width="7.7109375" style="78" customWidth="1"/>
    <col min="5890" max="5890" width="50.7109375" style="78" customWidth="1"/>
    <col min="5891" max="5891" width="9" style="78" customWidth="1"/>
    <col min="5892" max="5892" width="8.7109375" style="78" customWidth="1"/>
    <col min="5893" max="5893" width="7.85546875" style="78" customWidth="1"/>
    <col min="5894" max="5894" width="10.7109375" style="78" customWidth="1"/>
    <col min="5895" max="6144" width="9.140625" style="78"/>
    <col min="6145" max="6145" width="7.7109375" style="78" customWidth="1"/>
    <col min="6146" max="6146" width="50.7109375" style="78" customWidth="1"/>
    <col min="6147" max="6147" width="9" style="78" customWidth="1"/>
    <col min="6148" max="6148" width="8.7109375" style="78" customWidth="1"/>
    <col min="6149" max="6149" width="7.85546875" style="78" customWidth="1"/>
    <col min="6150" max="6150" width="10.7109375" style="78" customWidth="1"/>
    <col min="6151" max="6400" width="9.140625" style="78"/>
    <col min="6401" max="6401" width="7.7109375" style="78" customWidth="1"/>
    <col min="6402" max="6402" width="50.7109375" style="78" customWidth="1"/>
    <col min="6403" max="6403" width="9" style="78" customWidth="1"/>
    <col min="6404" max="6404" width="8.7109375" style="78" customWidth="1"/>
    <col min="6405" max="6405" width="7.85546875" style="78" customWidth="1"/>
    <col min="6406" max="6406" width="10.7109375" style="78" customWidth="1"/>
    <col min="6407" max="6656" width="9.140625" style="78"/>
    <col min="6657" max="6657" width="7.7109375" style="78" customWidth="1"/>
    <col min="6658" max="6658" width="50.7109375" style="78" customWidth="1"/>
    <col min="6659" max="6659" width="9" style="78" customWidth="1"/>
    <col min="6660" max="6660" width="8.7109375" style="78" customWidth="1"/>
    <col min="6661" max="6661" width="7.85546875" style="78" customWidth="1"/>
    <col min="6662" max="6662" width="10.7109375" style="78" customWidth="1"/>
    <col min="6663" max="6912" width="9.140625" style="78"/>
    <col min="6913" max="6913" width="7.7109375" style="78" customWidth="1"/>
    <col min="6914" max="6914" width="50.7109375" style="78" customWidth="1"/>
    <col min="6915" max="6915" width="9" style="78" customWidth="1"/>
    <col min="6916" max="6916" width="8.7109375" style="78" customWidth="1"/>
    <col min="6917" max="6917" width="7.85546875" style="78" customWidth="1"/>
    <col min="6918" max="6918" width="10.7109375" style="78" customWidth="1"/>
    <col min="6919" max="7168" width="9.140625" style="78"/>
    <col min="7169" max="7169" width="7.7109375" style="78" customWidth="1"/>
    <col min="7170" max="7170" width="50.7109375" style="78" customWidth="1"/>
    <col min="7171" max="7171" width="9" style="78" customWidth="1"/>
    <col min="7172" max="7172" width="8.7109375" style="78" customWidth="1"/>
    <col min="7173" max="7173" width="7.85546875" style="78" customWidth="1"/>
    <col min="7174" max="7174" width="10.7109375" style="78" customWidth="1"/>
    <col min="7175" max="7424" width="9.140625" style="78"/>
    <col min="7425" max="7425" width="7.7109375" style="78" customWidth="1"/>
    <col min="7426" max="7426" width="50.7109375" style="78" customWidth="1"/>
    <col min="7427" max="7427" width="9" style="78" customWidth="1"/>
    <col min="7428" max="7428" width="8.7109375" style="78" customWidth="1"/>
    <col min="7429" max="7429" width="7.85546875" style="78" customWidth="1"/>
    <col min="7430" max="7430" width="10.7109375" style="78" customWidth="1"/>
    <col min="7431" max="7680" width="9.140625" style="78"/>
    <col min="7681" max="7681" width="7.7109375" style="78" customWidth="1"/>
    <col min="7682" max="7682" width="50.7109375" style="78" customWidth="1"/>
    <col min="7683" max="7683" width="9" style="78" customWidth="1"/>
    <col min="7684" max="7684" width="8.7109375" style="78" customWidth="1"/>
    <col min="7685" max="7685" width="7.85546875" style="78" customWidth="1"/>
    <col min="7686" max="7686" width="10.7109375" style="78" customWidth="1"/>
    <col min="7687" max="7936" width="9.140625" style="78"/>
    <col min="7937" max="7937" width="7.7109375" style="78" customWidth="1"/>
    <col min="7938" max="7938" width="50.7109375" style="78" customWidth="1"/>
    <col min="7939" max="7939" width="9" style="78" customWidth="1"/>
    <col min="7940" max="7940" width="8.7109375" style="78" customWidth="1"/>
    <col min="7941" max="7941" width="7.85546875" style="78" customWidth="1"/>
    <col min="7942" max="7942" width="10.7109375" style="78" customWidth="1"/>
    <col min="7943" max="8192" width="9.140625" style="78"/>
    <col min="8193" max="8193" width="7.7109375" style="78" customWidth="1"/>
    <col min="8194" max="8194" width="50.7109375" style="78" customWidth="1"/>
    <col min="8195" max="8195" width="9" style="78" customWidth="1"/>
    <col min="8196" max="8196" width="8.7109375" style="78" customWidth="1"/>
    <col min="8197" max="8197" width="7.85546875" style="78" customWidth="1"/>
    <col min="8198" max="8198" width="10.7109375" style="78" customWidth="1"/>
    <col min="8199" max="8448" width="9.140625" style="78"/>
    <col min="8449" max="8449" width="7.7109375" style="78" customWidth="1"/>
    <col min="8450" max="8450" width="50.7109375" style="78" customWidth="1"/>
    <col min="8451" max="8451" width="9" style="78" customWidth="1"/>
    <col min="8452" max="8452" width="8.7109375" style="78" customWidth="1"/>
    <col min="8453" max="8453" width="7.85546875" style="78" customWidth="1"/>
    <col min="8454" max="8454" width="10.7109375" style="78" customWidth="1"/>
    <col min="8455" max="8704" width="9.140625" style="78"/>
    <col min="8705" max="8705" width="7.7109375" style="78" customWidth="1"/>
    <col min="8706" max="8706" width="50.7109375" style="78" customWidth="1"/>
    <col min="8707" max="8707" width="9" style="78" customWidth="1"/>
    <col min="8708" max="8708" width="8.7109375" style="78" customWidth="1"/>
    <col min="8709" max="8709" width="7.85546875" style="78" customWidth="1"/>
    <col min="8710" max="8710" width="10.7109375" style="78" customWidth="1"/>
    <col min="8711" max="8960" width="9.140625" style="78"/>
    <col min="8961" max="8961" width="7.7109375" style="78" customWidth="1"/>
    <col min="8962" max="8962" width="50.7109375" style="78" customWidth="1"/>
    <col min="8963" max="8963" width="9" style="78" customWidth="1"/>
    <col min="8964" max="8964" width="8.7109375" style="78" customWidth="1"/>
    <col min="8965" max="8965" width="7.85546875" style="78" customWidth="1"/>
    <col min="8966" max="8966" width="10.7109375" style="78" customWidth="1"/>
    <col min="8967" max="9216" width="9.140625" style="78"/>
    <col min="9217" max="9217" width="7.7109375" style="78" customWidth="1"/>
    <col min="9218" max="9218" width="50.7109375" style="78" customWidth="1"/>
    <col min="9219" max="9219" width="9" style="78" customWidth="1"/>
    <col min="9220" max="9220" width="8.7109375" style="78" customWidth="1"/>
    <col min="9221" max="9221" width="7.85546875" style="78" customWidth="1"/>
    <col min="9222" max="9222" width="10.7109375" style="78" customWidth="1"/>
    <col min="9223" max="9472" width="9.140625" style="78"/>
    <col min="9473" max="9473" width="7.7109375" style="78" customWidth="1"/>
    <col min="9474" max="9474" width="50.7109375" style="78" customWidth="1"/>
    <col min="9475" max="9475" width="9" style="78" customWidth="1"/>
    <col min="9476" max="9476" width="8.7109375" style="78" customWidth="1"/>
    <col min="9477" max="9477" width="7.85546875" style="78" customWidth="1"/>
    <col min="9478" max="9478" width="10.7109375" style="78" customWidth="1"/>
    <col min="9479" max="9728" width="9.140625" style="78"/>
    <col min="9729" max="9729" width="7.7109375" style="78" customWidth="1"/>
    <col min="9730" max="9730" width="50.7109375" style="78" customWidth="1"/>
    <col min="9731" max="9731" width="9" style="78" customWidth="1"/>
    <col min="9732" max="9732" width="8.7109375" style="78" customWidth="1"/>
    <col min="9733" max="9733" width="7.85546875" style="78" customWidth="1"/>
    <col min="9734" max="9734" width="10.7109375" style="78" customWidth="1"/>
    <col min="9735" max="9984" width="9.140625" style="78"/>
    <col min="9985" max="9985" width="7.7109375" style="78" customWidth="1"/>
    <col min="9986" max="9986" width="50.7109375" style="78" customWidth="1"/>
    <col min="9987" max="9987" width="9" style="78" customWidth="1"/>
    <col min="9988" max="9988" width="8.7109375" style="78" customWidth="1"/>
    <col min="9989" max="9989" width="7.85546875" style="78" customWidth="1"/>
    <col min="9990" max="9990" width="10.7109375" style="78" customWidth="1"/>
    <col min="9991" max="10240" width="9.140625" style="78"/>
    <col min="10241" max="10241" width="7.7109375" style="78" customWidth="1"/>
    <col min="10242" max="10242" width="50.7109375" style="78" customWidth="1"/>
    <col min="10243" max="10243" width="9" style="78" customWidth="1"/>
    <col min="10244" max="10244" width="8.7109375" style="78" customWidth="1"/>
    <col min="10245" max="10245" width="7.85546875" style="78" customWidth="1"/>
    <col min="10246" max="10246" width="10.7109375" style="78" customWidth="1"/>
    <col min="10247" max="10496" width="9.140625" style="78"/>
    <col min="10497" max="10497" width="7.7109375" style="78" customWidth="1"/>
    <col min="10498" max="10498" width="50.7109375" style="78" customWidth="1"/>
    <col min="10499" max="10499" width="9" style="78" customWidth="1"/>
    <col min="10500" max="10500" width="8.7109375" style="78" customWidth="1"/>
    <col min="10501" max="10501" width="7.85546875" style="78" customWidth="1"/>
    <col min="10502" max="10502" width="10.7109375" style="78" customWidth="1"/>
    <col min="10503" max="10752" width="9.140625" style="78"/>
    <col min="10753" max="10753" width="7.7109375" style="78" customWidth="1"/>
    <col min="10754" max="10754" width="50.7109375" style="78" customWidth="1"/>
    <col min="10755" max="10755" width="9" style="78" customWidth="1"/>
    <col min="10756" max="10756" width="8.7109375" style="78" customWidth="1"/>
    <col min="10757" max="10757" width="7.85546875" style="78" customWidth="1"/>
    <col min="10758" max="10758" width="10.7109375" style="78" customWidth="1"/>
    <col min="10759" max="11008" width="9.140625" style="78"/>
    <col min="11009" max="11009" width="7.7109375" style="78" customWidth="1"/>
    <col min="11010" max="11010" width="50.7109375" style="78" customWidth="1"/>
    <col min="11011" max="11011" width="9" style="78" customWidth="1"/>
    <col min="11012" max="11012" width="8.7109375" style="78" customWidth="1"/>
    <col min="11013" max="11013" width="7.85546875" style="78" customWidth="1"/>
    <col min="11014" max="11014" width="10.7109375" style="78" customWidth="1"/>
    <col min="11015" max="11264" width="9.140625" style="78"/>
    <col min="11265" max="11265" width="7.7109375" style="78" customWidth="1"/>
    <col min="11266" max="11266" width="50.7109375" style="78" customWidth="1"/>
    <col min="11267" max="11267" width="9" style="78" customWidth="1"/>
    <col min="11268" max="11268" width="8.7109375" style="78" customWidth="1"/>
    <col min="11269" max="11269" width="7.85546875" style="78" customWidth="1"/>
    <col min="11270" max="11270" width="10.7109375" style="78" customWidth="1"/>
    <col min="11271" max="11520" width="9.140625" style="78"/>
    <col min="11521" max="11521" width="7.7109375" style="78" customWidth="1"/>
    <col min="11522" max="11522" width="50.7109375" style="78" customWidth="1"/>
    <col min="11523" max="11523" width="9" style="78" customWidth="1"/>
    <col min="11524" max="11524" width="8.7109375" style="78" customWidth="1"/>
    <col min="11525" max="11525" width="7.85546875" style="78" customWidth="1"/>
    <col min="11526" max="11526" width="10.7109375" style="78" customWidth="1"/>
    <col min="11527" max="11776" width="9.140625" style="78"/>
    <col min="11777" max="11777" width="7.7109375" style="78" customWidth="1"/>
    <col min="11778" max="11778" width="50.7109375" style="78" customWidth="1"/>
    <col min="11779" max="11779" width="9" style="78" customWidth="1"/>
    <col min="11780" max="11780" width="8.7109375" style="78" customWidth="1"/>
    <col min="11781" max="11781" width="7.85546875" style="78" customWidth="1"/>
    <col min="11782" max="11782" width="10.7109375" style="78" customWidth="1"/>
    <col min="11783" max="12032" width="9.140625" style="78"/>
    <col min="12033" max="12033" width="7.7109375" style="78" customWidth="1"/>
    <col min="12034" max="12034" width="50.7109375" style="78" customWidth="1"/>
    <col min="12035" max="12035" width="9" style="78" customWidth="1"/>
    <col min="12036" max="12036" width="8.7109375" style="78" customWidth="1"/>
    <col min="12037" max="12037" width="7.85546875" style="78" customWidth="1"/>
    <col min="12038" max="12038" width="10.7109375" style="78" customWidth="1"/>
    <col min="12039" max="12288" width="9.140625" style="78"/>
    <col min="12289" max="12289" width="7.7109375" style="78" customWidth="1"/>
    <col min="12290" max="12290" width="50.7109375" style="78" customWidth="1"/>
    <col min="12291" max="12291" width="9" style="78" customWidth="1"/>
    <col min="12292" max="12292" width="8.7109375" style="78" customWidth="1"/>
    <col min="12293" max="12293" width="7.85546875" style="78" customWidth="1"/>
    <col min="12294" max="12294" width="10.7109375" style="78" customWidth="1"/>
    <col min="12295" max="12544" width="9.140625" style="78"/>
    <col min="12545" max="12545" width="7.7109375" style="78" customWidth="1"/>
    <col min="12546" max="12546" width="50.7109375" style="78" customWidth="1"/>
    <col min="12547" max="12547" width="9" style="78" customWidth="1"/>
    <col min="12548" max="12548" width="8.7109375" style="78" customWidth="1"/>
    <col min="12549" max="12549" width="7.85546875" style="78" customWidth="1"/>
    <col min="12550" max="12550" width="10.7109375" style="78" customWidth="1"/>
    <col min="12551" max="12800" width="9.140625" style="78"/>
    <col min="12801" max="12801" width="7.7109375" style="78" customWidth="1"/>
    <col min="12802" max="12802" width="50.7109375" style="78" customWidth="1"/>
    <col min="12803" max="12803" width="9" style="78" customWidth="1"/>
    <col min="12804" max="12804" width="8.7109375" style="78" customWidth="1"/>
    <col min="12805" max="12805" width="7.85546875" style="78" customWidth="1"/>
    <col min="12806" max="12806" width="10.7109375" style="78" customWidth="1"/>
    <col min="12807" max="13056" width="9.140625" style="78"/>
    <col min="13057" max="13057" width="7.7109375" style="78" customWidth="1"/>
    <col min="13058" max="13058" width="50.7109375" style="78" customWidth="1"/>
    <col min="13059" max="13059" width="9" style="78" customWidth="1"/>
    <col min="13060" max="13060" width="8.7109375" style="78" customWidth="1"/>
    <col min="13061" max="13061" width="7.85546875" style="78" customWidth="1"/>
    <col min="13062" max="13062" width="10.7109375" style="78" customWidth="1"/>
    <col min="13063" max="13312" width="9.140625" style="78"/>
    <col min="13313" max="13313" width="7.7109375" style="78" customWidth="1"/>
    <col min="13314" max="13314" width="50.7109375" style="78" customWidth="1"/>
    <col min="13315" max="13315" width="9" style="78" customWidth="1"/>
    <col min="13316" max="13316" width="8.7109375" style="78" customWidth="1"/>
    <col min="13317" max="13317" width="7.85546875" style="78" customWidth="1"/>
    <col min="13318" max="13318" width="10.7109375" style="78" customWidth="1"/>
    <col min="13319" max="13568" width="9.140625" style="78"/>
    <col min="13569" max="13569" width="7.7109375" style="78" customWidth="1"/>
    <col min="13570" max="13570" width="50.7109375" style="78" customWidth="1"/>
    <col min="13571" max="13571" width="9" style="78" customWidth="1"/>
    <col min="13572" max="13572" width="8.7109375" style="78" customWidth="1"/>
    <col min="13573" max="13573" width="7.85546875" style="78" customWidth="1"/>
    <col min="13574" max="13574" width="10.7109375" style="78" customWidth="1"/>
    <col min="13575" max="13824" width="9.140625" style="78"/>
    <col min="13825" max="13825" width="7.7109375" style="78" customWidth="1"/>
    <col min="13826" max="13826" width="50.7109375" style="78" customWidth="1"/>
    <col min="13827" max="13827" width="9" style="78" customWidth="1"/>
    <col min="13828" max="13828" width="8.7109375" style="78" customWidth="1"/>
    <col min="13829" max="13829" width="7.85546875" style="78" customWidth="1"/>
    <col min="13830" max="13830" width="10.7109375" style="78" customWidth="1"/>
    <col min="13831" max="14080" width="9.140625" style="78"/>
    <col min="14081" max="14081" width="7.7109375" style="78" customWidth="1"/>
    <col min="14082" max="14082" width="50.7109375" style="78" customWidth="1"/>
    <col min="14083" max="14083" width="9" style="78" customWidth="1"/>
    <col min="14084" max="14084" width="8.7109375" style="78" customWidth="1"/>
    <col min="14085" max="14085" width="7.85546875" style="78" customWidth="1"/>
    <col min="14086" max="14086" width="10.7109375" style="78" customWidth="1"/>
    <col min="14087" max="14336" width="9.140625" style="78"/>
    <col min="14337" max="14337" width="7.7109375" style="78" customWidth="1"/>
    <col min="14338" max="14338" width="50.7109375" style="78" customWidth="1"/>
    <col min="14339" max="14339" width="9" style="78" customWidth="1"/>
    <col min="14340" max="14340" width="8.7109375" style="78" customWidth="1"/>
    <col min="14341" max="14341" width="7.85546875" style="78" customWidth="1"/>
    <col min="14342" max="14342" width="10.7109375" style="78" customWidth="1"/>
    <col min="14343" max="14592" width="9.140625" style="78"/>
    <col min="14593" max="14593" width="7.7109375" style="78" customWidth="1"/>
    <col min="14594" max="14594" width="50.7109375" style="78" customWidth="1"/>
    <col min="14595" max="14595" width="9" style="78" customWidth="1"/>
    <col min="14596" max="14596" width="8.7109375" style="78" customWidth="1"/>
    <col min="14597" max="14597" width="7.85546875" style="78" customWidth="1"/>
    <col min="14598" max="14598" width="10.7109375" style="78" customWidth="1"/>
    <col min="14599" max="14848" width="9.140625" style="78"/>
    <col min="14849" max="14849" width="7.7109375" style="78" customWidth="1"/>
    <col min="14850" max="14850" width="50.7109375" style="78" customWidth="1"/>
    <col min="14851" max="14851" width="9" style="78" customWidth="1"/>
    <col min="14852" max="14852" width="8.7109375" style="78" customWidth="1"/>
    <col min="14853" max="14853" width="7.85546875" style="78" customWidth="1"/>
    <col min="14854" max="14854" width="10.7109375" style="78" customWidth="1"/>
    <col min="14855" max="15104" width="9.140625" style="78"/>
    <col min="15105" max="15105" width="7.7109375" style="78" customWidth="1"/>
    <col min="15106" max="15106" width="50.7109375" style="78" customWidth="1"/>
    <col min="15107" max="15107" width="9" style="78" customWidth="1"/>
    <col min="15108" max="15108" width="8.7109375" style="78" customWidth="1"/>
    <col min="15109" max="15109" width="7.85546875" style="78" customWidth="1"/>
    <col min="15110" max="15110" width="10.7109375" style="78" customWidth="1"/>
    <col min="15111" max="15360" width="9.140625" style="78"/>
    <col min="15361" max="15361" width="7.7109375" style="78" customWidth="1"/>
    <col min="15362" max="15362" width="50.7109375" style="78" customWidth="1"/>
    <col min="15363" max="15363" width="9" style="78" customWidth="1"/>
    <col min="15364" max="15364" width="8.7109375" style="78" customWidth="1"/>
    <col min="15365" max="15365" width="7.85546875" style="78" customWidth="1"/>
    <col min="15366" max="15366" width="10.7109375" style="78" customWidth="1"/>
    <col min="15367" max="15616" width="9.140625" style="78"/>
    <col min="15617" max="15617" width="7.7109375" style="78" customWidth="1"/>
    <col min="15618" max="15618" width="50.7109375" style="78" customWidth="1"/>
    <col min="15619" max="15619" width="9" style="78" customWidth="1"/>
    <col min="15620" max="15620" width="8.7109375" style="78" customWidth="1"/>
    <col min="15621" max="15621" width="7.85546875" style="78" customWidth="1"/>
    <col min="15622" max="15622" width="10.7109375" style="78" customWidth="1"/>
    <col min="15623" max="15872" width="9.140625" style="78"/>
    <col min="15873" max="15873" width="7.7109375" style="78" customWidth="1"/>
    <col min="15874" max="15874" width="50.7109375" style="78" customWidth="1"/>
    <col min="15875" max="15875" width="9" style="78" customWidth="1"/>
    <col min="15876" max="15876" width="8.7109375" style="78" customWidth="1"/>
    <col min="15877" max="15877" width="7.85546875" style="78" customWidth="1"/>
    <col min="15878" max="15878" width="10.7109375" style="78" customWidth="1"/>
    <col min="15879" max="16128" width="9.140625" style="78"/>
    <col min="16129" max="16129" width="7.7109375" style="78" customWidth="1"/>
    <col min="16130" max="16130" width="50.7109375" style="78" customWidth="1"/>
    <col min="16131" max="16131" width="9" style="78" customWidth="1"/>
    <col min="16132" max="16132" width="8.7109375" style="78" customWidth="1"/>
    <col min="16133" max="16133" width="7.85546875" style="78" customWidth="1"/>
    <col min="16134" max="16134" width="10.7109375" style="78" customWidth="1"/>
    <col min="16135" max="16384" width="9.140625" style="78"/>
  </cols>
  <sheetData>
    <row r="1" spans="1:13" ht="60" customHeight="1" thickTop="1" thickBot="1">
      <c r="A1" s="77"/>
      <c r="B1" s="1687"/>
      <c r="C1" s="1688"/>
      <c r="D1" s="1688"/>
      <c r="E1" s="1688"/>
      <c r="F1" s="1688"/>
    </row>
    <row r="2" spans="1:13" ht="28.5" customHeight="1" thickTop="1">
      <c r="A2" s="1695" t="s">
        <v>4100</v>
      </c>
      <c r="B2" s="1695"/>
      <c r="C2" s="1695"/>
      <c r="D2" s="1695"/>
      <c r="E2" s="1695"/>
      <c r="F2" s="1695"/>
    </row>
    <row r="3" spans="1:13" ht="24.95" customHeight="1">
      <c r="A3" s="81" t="s">
        <v>992</v>
      </c>
      <c r="B3" s="848" t="s">
        <v>3936</v>
      </c>
      <c r="C3" s="81" t="s">
        <v>3937</v>
      </c>
      <c r="D3" s="81" t="s">
        <v>99</v>
      </c>
      <c r="E3" s="759" t="s">
        <v>3938</v>
      </c>
      <c r="F3" s="81" t="s">
        <v>3939</v>
      </c>
    </row>
    <row r="4" spans="1:13" ht="12.75">
      <c r="A4" s="998"/>
      <c r="B4" s="921"/>
      <c r="C4" s="948"/>
      <c r="D4" s="999"/>
      <c r="E4" s="950"/>
      <c r="F4" s="1000"/>
    </row>
    <row r="5" spans="1:13" ht="12.75">
      <c r="A5" s="998" t="s">
        <v>3940</v>
      </c>
      <c r="B5" s="1001" t="s">
        <v>4101</v>
      </c>
      <c r="C5" s="87"/>
      <c r="D5" s="87"/>
      <c r="E5" s="1002"/>
      <c r="F5" s="87"/>
    </row>
    <row r="6" spans="1:13" ht="22.5">
      <c r="A6" s="998"/>
      <c r="B6" s="1003" t="s">
        <v>4102</v>
      </c>
      <c r="C6" s="1004"/>
      <c r="D6" s="1005"/>
      <c r="E6" s="1048"/>
      <c r="F6" s="1006"/>
    </row>
    <row r="7" spans="1:13" ht="22.5">
      <c r="A7" s="998"/>
      <c r="B7" s="1007" t="s">
        <v>4103</v>
      </c>
      <c r="C7" s="1004"/>
      <c r="D7" s="1005"/>
      <c r="E7" s="1049"/>
      <c r="F7" s="1008"/>
    </row>
    <row r="8" spans="1:13" ht="45">
      <c r="A8" s="998"/>
      <c r="B8" s="1007" t="s">
        <v>4104</v>
      </c>
      <c r="C8" s="1004"/>
      <c r="D8" s="1005"/>
      <c r="E8" s="1049"/>
      <c r="F8" s="1008"/>
    </row>
    <row r="9" spans="1:13" ht="22.5">
      <c r="A9" s="998"/>
      <c r="B9" s="1007" t="s">
        <v>4105</v>
      </c>
      <c r="C9" s="1004"/>
      <c r="D9" s="1005"/>
      <c r="E9" s="1049"/>
      <c r="F9" s="1008"/>
    </row>
    <row r="10" spans="1:13" ht="12.75">
      <c r="A10" s="998"/>
      <c r="B10" s="1009" t="s">
        <v>4106</v>
      </c>
      <c r="C10" s="1010" t="s">
        <v>82</v>
      </c>
      <c r="D10" s="1005">
        <v>1</v>
      </c>
      <c r="E10" s="156"/>
      <c r="F10" s="864">
        <f>D10*E10</f>
        <v>0</v>
      </c>
    </row>
    <row r="11" spans="1:13" ht="12.75">
      <c r="A11" s="998"/>
      <c r="B11" s="925"/>
      <c r="C11" s="922"/>
      <c r="D11" s="1011"/>
      <c r="E11" s="996"/>
      <c r="F11" s="1012"/>
    </row>
    <row r="12" spans="1:13" s="87" customFormat="1" ht="12.75">
      <c r="A12" s="998" t="s">
        <v>3945</v>
      </c>
      <c r="B12" s="895" t="s">
        <v>4107</v>
      </c>
      <c r="C12" s="1013"/>
      <c r="D12" s="897"/>
      <c r="E12" s="1050"/>
      <c r="F12" s="898"/>
    </row>
    <row r="13" spans="1:13" s="101" customFormat="1" ht="90">
      <c r="A13" s="998"/>
      <c r="B13" s="1014" t="s">
        <v>4108</v>
      </c>
      <c r="C13" s="1013"/>
      <c r="D13" s="897"/>
      <c r="E13" s="1049"/>
      <c r="F13" s="1013"/>
      <c r="G13" s="94"/>
      <c r="H13" s="94"/>
      <c r="I13" s="94"/>
      <c r="J13" s="94"/>
      <c r="K13" s="94"/>
    </row>
    <row r="14" spans="1:13" ht="33.75">
      <c r="A14" s="998"/>
      <c r="B14" s="1014" t="s">
        <v>4109</v>
      </c>
      <c r="C14" s="1013"/>
      <c r="D14" s="1005"/>
      <c r="E14" s="1049"/>
      <c r="F14" s="1008"/>
      <c r="G14" s="8"/>
      <c r="H14" s="8"/>
      <c r="I14" s="8"/>
      <c r="J14" s="8"/>
      <c r="K14" s="8"/>
      <c r="L14" s="8"/>
      <c r="M14" s="8"/>
    </row>
    <row r="15" spans="1:13" s="87" customFormat="1" ht="12.75">
      <c r="A15" s="998"/>
      <c r="B15" s="1014" t="s">
        <v>4110</v>
      </c>
      <c r="C15" s="1015" t="s">
        <v>1184</v>
      </c>
      <c r="D15" s="1005">
        <v>128</v>
      </c>
      <c r="E15" s="156"/>
      <c r="F15" s="864">
        <f>D15*E15</f>
        <v>0</v>
      </c>
    </row>
    <row r="16" spans="1:13" s="87" customFormat="1" ht="12.75">
      <c r="A16" s="998"/>
      <c r="B16" s="1014" t="s">
        <v>4111</v>
      </c>
      <c r="C16" s="1015" t="s">
        <v>1184</v>
      </c>
      <c r="D16" s="1005">
        <v>53</v>
      </c>
      <c r="E16" s="156"/>
      <c r="F16" s="864">
        <f>D16*E16</f>
        <v>0</v>
      </c>
    </row>
    <row r="17" spans="1:7" ht="12.75">
      <c r="A17" s="998"/>
      <c r="B17" s="1014" t="s">
        <v>4112</v>
      </c>
      <c r="C17" s="1015" t="s">
        <v>1184</v>
      </c>
      <c r="D17" s="897">
        <v>10</v>
      </c>
      <c r="E17" s="157"/>
      <c r="F17" s="903">
        <f>D17*E17</f>
        <v>0</v>
      </c>
    </row>
    <row r="18" spans="1:7" ht="12.75">
      <c r="A18" s="998"/>
      <c r="B18" s="1014" t="s">
        <v>4113</v>
      </c>
      <c r="C18" s="1015" t="s">
        <v>1184</v>
      </c>
      <c r="D18" s="897">
        <v>6</v>
      </c>
      <c r="E18" s="157"/>
      <c r="F18" s="903">
        <f>D18*E18</f>
        <v>0</v>
      </c>
    </row>
    <row r="19" spans="1:7" s="87" customFormat="1" ht="11.25" customHeight="1">
      <c r="A19" s="998"/>
      <c r="B19" s="1016"/>
      <c r="C19" s="1017"/>
      <c r="D19" s="1018"/>
      <c r="E19" s="1051"/>
      <c r="F19" s="1019"/>
      <c r="G19" s="78"/>
    </row>
    <row r="20" spans="1:7" s="87" customFormat="1" ht="12.75">
      <c r="A20" s="998" t="s">
        <v>3948</v>
      </c>
      <c r="B20" s="777" t="s">
        <v>4114</v>
      </c>
      <c r="C20" s="778"/>
      <c r="D20" s="914"/>
      <c r="E20" s="991"/>
      <c r="F20" s="916"/>
      <c r="G20" s="78"/>
    </row>
    <row r="21" spans="1:7" s="87" customFormat="1" ht="56.25">
      <c r="A21" s="998"/>
      <c r="B21" s="812" t="s">
        <v>4115</v>
      </c>
      <c r="C21" s="778"/>
      <c r="D21" s="914"/>
      <c r="E21" s="990"/>
      <c r="F21" s="915"/>
      <c r="G21" s="78"/>
    </row>
    <row r="22" spans="1:7" s="87" customFormat="1" ht="12.75">
      <c r="A22" s="998"/>
      <c r="B22" s="812" t="s">
        <v>4116</v>
      </c>
      <c r="C22" s="922" t="s">
        <v>3770</v>
      </c>
      <c r="D22" s="1011">
        <v>2</v>
      </c>
      <c r="E22" s="155"/>
      <c r="F22" s="864">
        <f>D22*E22</f>
        <v>0</v>
      </c>
      <c r="G22" s="78"/>
    </row>
    <row r="23" spans="1:7" ht="12.75">
      <c r="A23" s="998"/>
      <c r="B23" s="786"/>
      <c r="C23" s="778"/>
      <c r="D23" s="914"/>
      <c r="E23" s="990"/>
      <c r="F23" s="915"/>
    </row>
    <row r="24" spans="1:7" ht="12.75">
      <c r="A24" s="998" t="s">
        <v>3952</v>
      </c>
      <c r="B24" s="777" t="s">
        <v>4117</v>
      </c>
      <c r="C24" s="778"/>
      <c r="D24" s="914"/>
      <c r="E24" s="991"/>
      <c r="F24" s="916"/>
    </row>
    <row r="25" spans="1:7" ht="67.5">
      <c r="A25" s="998"/>
      <c r="B25" s="812" t="s">
        <v>4118</v>
      </c>
      <c r="C25" s="778"/>
      <c r="D25" s="914"/>
      <c r="E25" s="990"/>
      <c r="F25" s="915"/>
    </row>
    <row r="26" spans="1:7" s="87" customFormat="1" ht="12.75">
      <c r="A26" s="998"/>
      <c r="B26" s="812" t="s">
        <v>4119</v>
      </c>
      <c r="C26" s="922" t="s">
        <v>3770</v>
      </c>
      <c r="D26" s="1011">
        <v>2</v>
      </c>
      <c r="E26" s="155"/>
      <c r="F26" s="864">
        <f>D26*E26</f>
        <v>0</v>
      </c>
    </row>
    <row r="27" spans="1:7" ht="12.75">
      <c r="A27" s="998"/>
      <c r="B27" s="786"/>
      <c r="C27" s="778"/>
      <c r="D27" s="914"/>
      <c r="E27" s="990"/>
      <c r="F27" s="915"/>
    </row>
    <row r="28" spans="1:7" ht="12.75">
      <c r="A28" s="998" t="s">
        <v>3956</v>
      </c>
      <c r="B28" s="777" t="s">
        <v>4120</v>
      </c>
      <c r="C28" s="778"/>
      <c r="D28" s="914"/>
      <c r="E28" s="991"/>
      <c r="F28" s="916"/>
    </row>
    <row r="29" spans="1:7" ht="67.5">
      <c r="A29" s="998"/>
      <c r="B29" s="812" t="s">
        <v>4118</v>
      </c>
      <c r="C29" s="778"/>
      <c r="D29" s="914"/>
      <c r="E29" s="990"/>
      <c r="F29" s="915"/>
    </row>
    <row r="30" spans="1:7" s="87" customFormat="1" ht="12.75">
      <c r="A30" s="998"/>
      <c r="B30" s="812" t="s">
        <v>4121</v>
      </c>
      <c r="C30" s="922" t="s">
        <v>3770</v>
      </c>
      <c r="D30" s="1011">
        <v>1</v>
      </c>
      <c r="E30" s="155"/>
      <c r="F30" s="864">
        <f>D30*E30</f>
        <v>0</v>
      </c>
    </row>
    <row r="31" spans="1:7" s="87" customFormat="1" ht="12.75">
      <c r="A31" s="998"/>
      <c r="B31" s="786"/>
      <c r="C31" s="778"/>
      <c r="D31" s="914"/>
      <c r="E31" s="990"/>
      <c r="F31" s="915"/>
    </row>
    <row r="32" spans="1:7" s="87" customFormat="1" ht="12.75">
      <c r="A32" s="998" t="s">
        <v>3959</v>
      </c>
      <c r="B32" s="895" t="s">
        <v>4122</v>
      </c>
      <c r="C32" s="778"/>
      <c r="D32" s="914"/>
      <c r="E32" s="990"/>
      <c r="F32" s="915"/>
      <c r="G32" s="78"/>
    </row>
    <row r="33" spans="1:7" ht="78.75">
      <c r="A33" s="998"/>
      <c r="B33" s="812" t="s">
        <v>4123</v>
      </c>
      <c r="C33" s="778"/>
      <c r="D33" s="914"/>
      <c r="E33" s="990"/>
      <c r="F33" s="915"/>
    </row>
    <row r="34" spans="1:7" ht="12.75">
      <c r="A34" s="998"/>
      <c r="B34" s="812"/>
      <c r="C34" s="922" t="s">
        <v>3770</v>
      </c>
      <c r="D34" s="1011">
        <v>5</v>
      </c>
      <c r="E34" s="155"/>
      <c r="F34" s="864">
        <f>D34*E34</f>
        <v>0</v>
      </c>
    </row>
    <row r="35" spans="1:7" ht="12.75">
      <c r="A35" s="998"/>
      <c r="B35" s="786"/>
      <c r="C35" s="778"/>
      <c r="D35" s="1020"/>
      <c r="E35" s="1052"/>
      <c r="F35" s="1021"/>
      <c r="G35" s="88"/>
    </row>
    <row r="36" spans="1:7" ht="12.75">
      <c r="A36" s="998" t="s">
        <v>3963</v>
      </c>
      <c r="B36" s="895" t="s">
        <v>4124</v>
      </c>
      <c r="C36" s="778"/>
      <c r="D36" s="1020"/>
      <c r="E36" s="1052"/>
      <c r="F36" s="1021"/>
      <c r="G36" s="94"/>
    </row>
    <row r="37" spans="1:7" ht="67.5">
      <c r="A37" s="998"/>
      <c r="B37" s="812" t="s">
        <v>4125</v>
      </c>
      <c r="C37" s="778"/>
      <c r="D37" s="1020"/>
      <c r="E37" s="1052"/>
      <c r="F37" s="1021"/>
      <c r="G37" s="94"/>
    </row>
    <row r="38" spans="1:7" ht="12.75">
      <c r="A38" s="998"/>
      <c r="B38" s="812" t="s">
        <v>4126</v>
      </c>
      <c r="C38" s="922" t="s">
        <v>3770</v>
      </c>
      <c r="D38" s="1011">
        <v>4</v>
      </c>
      <c r="E38" s="155"/>
      <c r="F38" s="864">
        <f>D38*E38</f>
        <v>0</v>
      </c>
    </row>
    <row r="39" spans="1:7" ht="12.75">
      <c r="A39" s="998"/>
      <c r="B39" s="786"/>
      <c r="C39" s="778"/>
      <c r="D39" s="1020"/>
      <c r="E39" s="1052"/>
      <c r="F39" s="1021"/>
      <c r="G39" s="88"/>
    </row>
    <row r="40" spans="1:7" ht="12.75">
      <c r="A40" s="998" t="s">
        <v>3968</v>
      </c>
      <c r="B40" s="895" t="s">
        <v>4127</v>
      </c>
      <c r="C40" s="778"/>
      <c r="D40" s="1020"/>
      <c r="E40" s="1052"/>
      <c r="F40" s="1021"/>
      <c r="G40" s="94"/>
    </row>
    <row r="41" spans="1:7" ht="67.5">
      <c r="A41" s="998"/>
      <c r="B41" s="812" t="s">
        <v>4128</v>
      </c>
      <c r="C41" s="778"/>
      <c r="D41" s="1020"/>
      <c r="E41" s="1052"/>
      <c r="F41" s="1021"/>
      <c r="G41" s="94"/>
    </row>
    <row r="42" spans="1:7" ht="12.75">
      <c r="A42" s="998"/>
      <c r="B42" s="812" t="s">
        <v>4129</v>
      </c>
      <c r="C42" s="922" t="s">
        <v>3770</v>
      </c>
      <c r="D42" s="1011">
        <v>1</v>
      </c>
      <c r="E42" s="155"/>
      <c r="F42" s="864">
        <f>D42*E42</f>
        <v>0</v>
      </c>
    </row>
    <row r="43" spans="1:7" ht="12.75">
      <c r="A43" s="998"/>
      <c r="B43" s="930"/>
      <c r="C43" s="1022"/>
      <c r="D43" s="1023"/>
      <c r="E43" s="158"/>
      <c r="F43" s="913"/>
    </row>
    <row r="44" spans="1:7" ht="12.75">
      <c r="A44" s="998" t="s">
        <v>3972</v>
      </c>
      <c r="B44" s="941" t="s">
        <v>4130</v>
      </c>
      <c r="C44" s="88"/>
      <c r="D44" s="1024"/>
      <c r="E44" s="1053"/>
      <c r="F44" s="88"/>
    </row>
    <row r="45" spans="1:7" ht="157.5">
      <c r="A45" s="998"/>
      <c r="B45" s="750" t="s">
        <v>4131</v>
      </c>
      <c r="C45" s="1025"/>
      <c r="D45" s="1024"/>
      <c r="E45" s="1053"/>
      <c r="F45" s="913"/>
    </row>
    <row r="46" spans="1:7" ht="12.75">
      <c r="A46" s="998"/>
      <c r="B46" s="1026" t="s">
        <v>4132</v>
      </c>
      <c r="C46" s="1015" t="s">
        <v>1184</v>
      </c>
      <c r="D46" s="1027">
        <v>2.5</v>
      </c>
      <c r="E46" s="159"/>
      <c r="F46" s="864">
        <f>D46*E46</f>
        <v>0</v>
      </c>
    </row>
    <row r="47" spans="1:7" ht="67.5">
      <c r="A47" s="998"/>
      <c r="B47" s="1026" t="s">
        <v>4133</v>
      </c>
      <c r="C47" s="922" t="s">
        <v>3770</v>
      </c>
      <c r="D47" s="1027">
        <v>1</v>
      </c>
      <c r="E47" s="159"/>
      <c r="F47" s="864">
        <f>D47*E47</f>
        <v>0</v>
      </c>
    </row>
    <row r="48" spans="1:7" ht="33.75">
      <c r="A48" s="998"/>
      <c r="B48" s="1026" t="s">
        <v>4134</v>
      </c>
      <c r="C48" s="1015" t="s">
        <v>1184</v>
      </c>
      <c r="D48" s="1027">
        <v>3</v>
      </c>
      <c r="E48" s="159"/>
      <c r="F48" s="864">
        <f>D48*E48</f>
        <v>0</v>
      </c>
    </row>
    <row r="49" spans="1:6" ht="33.75">
      <c r="A49" s="998"/>
      <c r="B49" s="1026" t="s">
        <v>4135</v>
      </c>
      <c r="C49" s="1028" t="s">
        <v>3944</v>
      </c>
      <c r="D49" s="1027">
        <v>1</v>
      </c>
      <c r="E49" s="159"/>
      <c r="F49" s="864">
        <f>D49*E49</f>
        <v>0</v>
      </c>
    </row>
    <row r="50" spans="1:6" ht="12.75">
      <c r="A50" s="998"/>
      <c r="B50" s="930"/>
      <c r="C50" s="1022"/>
      <c r="D50" s="1023"/>
      <c r="E50" s="158"/>
      <c r="F50" s="913"/>
    </row>
    <row r="51" spans="1:6" ht="12.75">
      <c r="A51" s="998" t="s">
        <v>3975</v>
      </c>
      <c r="B51" s="941" t="s">
        <v>4136</v>
      </c>
      <c r="C51" s="88"/>
      <c r="D51" s="1024"/>
      <c r="E51" s="1053"/>
      <c r="F51" s="88"/>
    </row>
    <row r="52" spans="1:6" ht="146.25">
      <c r="A52" s="998"/>
      <c r="B52" s="750" t="s">
        <v>4137</v>
      </c>
      <c r="C52" s="1025"/>
      <c r="D52" s="1024"/>
      <c r="E52" s="1053"/>
      <c r="F52" s="913"/>
    </row>
    <row r="53" spans="1:6" ht="12.75">
      <c r="A53" s="998"/>
      <c r="B53" s="1026" t="s">
        <v>4132</v>
      </c>
      <c r="C53" s="1015" t="s">
        <v>1184</v>
      </c>
      <c r="D53" s="1027">
        <v>9</v>
      </c>
      <c r="E53" s="159"/>
      <c r="F53" s="864">
        <f>D53*E53</f>
        <v>0</v>
      </c>
    </row>
    <row r="54" spans="1:6" ht="33.75">
      <c r="A54" s="998"/>
      <c r="B54" s="1026" t="s">
        <v>4138</v>
      </c>
      <c r="C54" s="922" t="s">
        <v>3770</v>
      </c>
      <c r="D54" s="1027">
        <v>9</v>
      </c>
      <c r="E54" s="159"/>
      <c r="F54" s="864">
        <f>D54*E54</f>
        <v>0</v>
      </c>
    </row>
    <row r="55" spans="1:6" ht="56.25">
      <c r="A55" s="998"/>
      <c r="B55" s="1026" t="s">
        <v>4139</v>
      </c>
      <c r="C55" s="922" t="s">
        <v>3770</v>
      </c>
      <c r="D55" s="1027">
        <v>4</v>
      </c>
      <c r="E55" s="159"/>
      <c r="F55" s="864">
        <f>D55*E55</f>
        <v>0</v>
      </c>
    </row>
    <row r="56" spans="1:6" ht="33.75">
      <c r="A56" s="998"/>
      <c r="B56" s="1026" t="s">
        <v>4140</v>
      </c>
      <c r="C56" s="922" t="s">
        <v>3770</v>
      </c>
      <c r="D56" s="1027">
        <v>4</v>
      </c>
      <c r="E56" s="159"/>
      <c r="F56" s="864">
        <f>D56*E56</f>
        <v>0</v>
      </c>
    </row>
    <row r="57" spans="1:6" ht="12.75">
      <c r="A57" s="998"/>
      <c r="B57" s="930"/>
      <c r="C57" s="1022"/>
      <c r="D57" s="1023"/>
      <c r="E57" s="158"/>
      <c r="F57" s="913"/>
    </row>
    <row r="58" spans="1:6" ht="12.75">
      <c r="A58" s="998" t="s">
        <v>3986</v>
      </c>
      <c r="B58" s="941" t="s">
        <v>4141</v>
      </c>
      <c r="C58" s="88"/>
      <c r="D58" s="1024"/>
      <c r="E58" s="1053"/>
      <c r="F58" s="88"/>
    </row>
    <row r="59" spans="1:6" ht="168.75">
      <c r="A59" s="998"/>
      <c r="B59" s="750" t="s">
        <v>4142</v>
      </c>
      <c r="C59" s="1025"/>
      <c r="D59" s="1024"/>
      <c r="E59" s="1053"/>
      <c r="F59" s="913"/>
    </row>
    <row r="60" spans="1:6" ht="12.75">
      <c r="A60" s="998"/>
      <c r="B60" s="1026" t="s">
        <v>4132</v>
      </c>
      <c r="C60" s="1015" t="s">
        <v>1184</v>
      </c>
      <c r="D60" s="1027">
        <v>25</v>
      </c>
      <c r="E60" s="159"/>
      <c r="F60" s="864">
        <f>D60*E60</f>
        <v>0</v>
      </c>
    </row>
    <row r="61" spans="1:6" ht="56.25">
      <c r="A61" s="998"/>
      <c r="B61" s="1026" t="s">
        <v>4143</v>
      </c>
      <c r="C61" s="922" t="s">
        <v>3770</v>
      </c>
      <c r="D61" s="1027">
        <v>50</v>
      </c>
      <c r="E61" s="159"/>
      <c r="F61" s="864">
        <f>D61*E61</f>
        <v>0</v>
      </c>
    </row>
    <row r="62" spans="1:6" ht="135">
      <c r="A62" s="998"/>
      <c r="B62" s="1026" t="s">
        <v>4144</v>
      </c>
      <c r="C62" s="922" t="s">
        <v>3770</v>
      </c>
      <c r="D62" s="1027">
        <v>4</v>
      </c>
      <c r="E62" s="159"/>
      <c r="F62" s="864">
        <f>D62*E62</f>
        <v>0</v>
      </c>
    </row>
    <row r="63" spans="1:6" ht="13.5" customHeight="1">
      <c r="A63" s="998"/>
      <c r="B63" s="1029"/>
      <c r="C63" s="1030"/>
      <c r="D63" s="897"/>
      <c r="E63" s="160"/>
      <c r="F63" s="913"/>
    </row>
    <row r="64" spans="1:6" ht="33.75">
      <c r="A64" s="998" t="s">
        <v>4045</v>
      </c>
      <c r="B64" s="1031" t="s">
        <v>4145</v>
      </c>
      <c r="C64" s="922"/>
      <c r="D64" s="1011"/>
      <c r="E64" s="996"/>
      <c r="F64" s="1012"/>
    </row>
    <row r="65" spans="1:6" ht="157.5">
      <c r="A65" s="998"/>
      <c r="B65" s="925" t="s">
        <v>4146</v>
      </c>
      <c r="C65" s="922"/>
      <c r="D65" s="1011"/>
      <c r="E65" s="996"/>
      <c r="F65" s="1012"/>
    </row>
    <row r="66" spans="1:6" ht="12.75">
      <c r="A66" s="1032"/>
      <c r="B66" s="786" t="s">
        <v>4147</v>
      </c>
      <c r="C66" s="778" t="s">
        <v>1184</v>
      </c>
      <c r="D66" s="923">
        <v>30</v>
      </c>
      <c r="E66" s="155"/>
      <c r="F66" s="910">
        <f>D66*E66</f>
        <v>0</v>
      </c>
    </row>
    <row r="67" spans="1:6" ht="12.75">
      <c r="A67" s="1032"/>
      <c r="B67" s="786" t="s">
        <v>4148</v>
      </c>
      <c r="C67" s="778" t="s">
        <v>1184</v>
      </c>
      <c r="D67" s="923">
        <v>108</v>
      </c>
      <c r="E67" s="161"/>
      <c r="F67" s="1033">
        <f>D67*E67</f>
        <v>0</v>
      </c>
    </row>
    <row r="68" spans="1:6" ht="12.75">
      <c r="A68" s="1032"/>
      <c r="B68" s="786" t="s">
        <v>4149</v>
      </c>
      <c r="C68" s="778" t="s">
        <v>1184</v>
      </c>
      <c r="D68" s="923">
        <v>5</v>
      </c>
      <c r="E68" s="155"/>
      <c r="F68" s="910">
        <f>D68*E68</f>
        <v>0</v>
      </c>
    </row>
    <row r="69" spans="1:6" ht="12.75">
      <c r="A69" s="921"/>
      <c r="B69" s="786" t="s">
        <v>4110</v>
      </c>
      <c r="C69" s="778" t="s">
        <v>1184</v>
      </c>
      <c r="D69" s="923">
        <v>86</v>
      </c>
      <c r="E69" s="161"/>
      <c r="F69" s="1033">
        <f>D69*E69</f>
        <v>0</v>
      </c>
    </row>
    <row r="70" spans="1:6" ht="12.75">
      <c r="A70" s="998"/>
      <c r="B70" s="960"/>
      <c r="C70" s="922"/>
      <c r="D70" s="1034"/>
      <c r="E70" s="162"/>
      <c r="F70" s="913"/>
    </row>
    <row r="71" spans="1:6">
      <c r="A71" s="998" t="s">
        <v>4050</v>
      </c>
      <c r="B71" s="973" t="s">
        <v>4150</v>
      </c>
      <c r="E71" s="1054"/>
    </row>
    <row r="72" spans="1:6" ht="67.5">
      <c r="A72" s="998"/>
      <c r="B72" s="975" t="s">
        <v>4151</v>
      </c>
      <c r="C72" s="922"/>
      <c r="D72" s="1035"/>
      <c r="E72" s="1055"/>
      <c r="F72" s="1036"/>
    </row>
    <row r="73" spans="1:6" ht="22.5">
      <c r="A73" s="998"/>
      <c r="B73" s="975" t="s">
        <v>4152</v>
      </c>
      <c r="C73" s="922"/>
      <c r="D73" s="1035"/>
      <c r="E73" s="1055"/>
      <c r="F73" s="1036"/>
    </row>
    <row r="74" spans="1:6" ht="12.75">
      <c r="A74" s="998"/>
      <c r="C74" s="922" t="s">
        <v>3770</v>
      </c>
      <c r="D74" s="1035">
        <v>29</v>
      </c>
      <c r="E74" s="155"/>
      <c r="F74" s="864">
        <f>D74*E74</f>
        <v>0</v>
      </c>
    </row>
    <row r="75" spans="1:6" ht="12.75">
      <c r="A75" s="998"/>
      <c r="B75" s="975"/>
      <c r="D75" s="1011"/>
      <c r="E75" s="996"/>
      <c r="F75" s="1012"/>
    </row>
    <row r="76" spans="1:6">
      <c r="A76" s="998" t="s">
        <v>4054</v>
      </c>
      <c r="B76" s="973" t="s">
        <v>4153</v>
      </c>
      <c r="E76" s="1054"/>
    </row>
    <row r="77" spans="1:6" ht="112.5">
      <c r="A77" s="998"/>
      <c r="B77" s="975" t="s">
        <v>4154</v>
      </c>
      <c r="C77" s="922"/>
      <c r="D77" s="1035"/>
      <c r="E77" s="1055"/>
      <c r="F77" s="1036"/>
    </row>
    <row r="78" spans="1:6" ht="12.75">
      <c r="A78" s="998"/>
      <c r="B78" s="975" t="s">
        <v>4155</v>
      </c>
      <c r="C78" s="922" t="s">
        <v>3770</v>
      </c>
      <c r="D78" s="1035">
        <v>12</v>
      </c>
      <c r="E78" s="155"/>
      <c r="F78" s="864">
        <f>D78*E78</f>
        <v>0</v>
      </c>
    </row>
    <row r="79" spans="1:6">
      <c r="A79" s="998"/>
      <c r="B79" s="975"/>
      <c r="C79" s="922"/>
      <c r="D79" s="1035"/>
      <c r="E79" s="1056"/>
    </row>
    <row r="80" spans="1:6">
      <c r="A80" s="998" t="s">
        <v>4059</v>
      </c>
      <c r="B80" s="973" t="s">
        <v>4156</v>
      </c>
      <c r="E80" s="1054"/>
    </row>
    <row r="81" spans="1:6" ht="112.5">
      <c r="A81" s="998"/>
      <c r="B81" s="975" t="s">
        <v>4157</v>
      </c>
      <c r="C81" s="922"/>
      <c r="D81" s="1035"/>
      <c r="E81" s="1055"/>
      <c r="F81" s="1036"/>
    </row>
    <row r="82" spans="1:6" ht="12.75">
      <c r="A82" s="998"/>
      <c r="B82" s="975" t="s">
        <v>4158</v>
      </c>
      <c r="C82" s="922" t="s">
        <v>3770</v>
      </c>
      <c r="D82" s="1035">
        <v>2</v>
      </c>
      <c r="E82" s="155"/>
      <c r="F82" s="864">
        <f>D82*E82</f>
        <v>0</v>
      </c>
    </row>
    <row r="83" spans="1:6">
      <c r="A83" s="998"/>
      <c r="B83" s="975"/>
      <c r="C83" s="922"/>
      <c r="D83" s="1035"/>
      <c r="E83" s="1056"/>
    </row>
    <row r="84" spans="1:6">
      <c r="A84" s="998" t="s">
        <v>4062</v>
      </c>
      <c r="B84" s="966" t="s">
        <v>4159</v>
      </c>
      <c r="E84" s="1054"/>
    </row>
    <row r="85" spans="1:6" ht="78.75">
      <c r="A85" s="998"/>
      <c r="B85" s="968" t="s">
        <v>4160</v>
      </c>
      <c r="D85" s="1037"/>
      <c r="E85" s="1057"/>
      <c r="F85" s="1038"/>
    </row>
    <row r="86" spans="1:6" ht="12.75">
      <c r="A86" s="998"/>
      <c r="B86" s="960" t="s">
        <v>4110</v>
      </c>
      <c r="C86" s="922" t="s">
        <v>3967</v>
      </c>
      <c r="D86" s="1034">
        <v>2</v>
      </c>
      <c r="E86" s="155"/>
      <c r="F86" s="864">
        <f>D86*E86</f>
        <v>0</v>
      </c>
    </row>
    <row r="87" spans="1:6" ht="12.75">
      <c r="A87" s="998"/>
      <c r="B87" s="960"/>
      <c r="C87" s="922"/>
      <c r="D87" s="1034"/>
      <c r="E87" s="162"/>
      <c r="F87" s="913"/>
    </row>
    <row r="88" spans="1:6">
      <c r="A88" s="998" t="s">
        <v>4073</v>
      </c>
      <c r="B88" s="966" t="s">
        <v>4161</v>
      </c>
      <c r="E88" s="1054"/>
    </row>
    <row r="89" spans="1:6" ht="56.25">
      <c r="A89" s="998"/>
      <c r="B89" s="968" t="s">
        <v>4162</v>
      </c>
      <c r="C89" s="1038"/>
      <c r="D89" s="1037"/>
      <c r="E89" s="1057"/>
      <c r="F89" s="1038"/>
    </row>
    <row r="90" spans="1:6" ht="12.75">
      <c r="A90" s="998"/>
      <c r="B90" s="960" t="s">
        <v>4163</v>
      </c>
      <c r="C90" s="922" t="s">
        <v>3770</v>
      </c>
      <c r="D90" s="1034">
        <v>1</v>
      </c>
      <c r="E90" s="155"/>
      <c r="F90" s="864">
        <f>D90*E90</f>
        <v>0</v>
      </c>
    </row>
    <row r="91" spans="1:6" ht="12.75">
      <c r="A91" s="998"/>
      <c r="B91" s="960"/>
      <c r="C91" s="1038"/>
      <c r="D91" s="1037"/>
      <c r="E91" s="1057"/>
      <c r="F91" s="1038"/>
    </row>
    <row r="92" spans="1:6">
      <c r="A92" s="998" t="s">
        <v>4080</v>
      </c>
      <c r="B92" s="973" t="s">
        <v>4042</v>
      </c>
      <c r="E92" s="1054"/>
    </row>
    <row r="93" spans="1:6" ht="45">
      <c r="A93" s="998"/>
      <c r="B93" s="975" t="s">
        <v>4164</v>
      </c>
      <c r="C93" s="922"/>
      <c r="D93" s="1035"/>
      <c r="E93" s="1055"/>
      <c r="F93" s="1036"/>
    </row>
    <row r="94" spans="1:6" ht="12.75">
      <c r="A94" s="998"/>
      <c r="C94" s="922" t="s">
        <v>3770</v>
      </c>
      <c r="D94" s="1035">
        <v>10</v>
      </c>
      <c r="E94" s="155"/>
      <c r="F94" s="864">
        <f>D94*E94</f>
        <v>0</v>
      </c>
    </row>
    <row r="95" spans="1:6">
      <c r="A95" s="998" t="s">
        <v>4083</v>
      </c>
      <c r="B95" s="966" t="s">
        <v>4165</v>
      </c>
      <c r="E95" s="1054"/>
    </row>
    <row r="96" spans="1:6" ht="22.5">
      <c r="A96" s="998"/>
      <c r="B96" s="968" t="s">
        <v>4166</v>
      </c>
      <c r="C96" s="1038"/>
      <c r="D96" s="1037"/>
      <c r="E96" s="1057"/>
      <c r="F96" s="1038"/>
    </row>
    <row r="97" spans="1:6" ht="12.75">
      <c r="A97" s="998"/>
      <c r="B97" s="968" t="s">
        <v>4167</v>
      </c>
      <c r="C97" s="1038"/>
      <c r="D97" s="1037"/>
      <c r="E97" s="1057"/>
      <c r="F97" s="1038"/>
    </row>
    <row r="98" spans="1:6" ht="12.75">
      <c r="A98" s="998"/>
      <c r="B98" s="960" t="s">
        <v>4149</v>
      </c>
      <c r="C98" s="922" t="s">
        <v>3770</v>
      </c>
      <c r="D98" s="1034">
        <v>1</v>
      </c>
      <c r="E98" s="155"/>
      <c r="F98" s="864">
        <f>D98*E98</f>
        <v>0</v>
      </c>
    </row>
    <row r="99" spans="1:6" ht="12.75">
      <c r="A99" s="998"/>
      <c r="B99" s="960" t="s">
        <v>4110</v>
      </c>
      <c r="C99" s="922" t="s">
        <v>3770</v>
      </c>
      <c r="D99" s="1034">
        <v>9</v>
      </c>
      <c r="E99" s="155"/>
      <c r="F99" s="864">
        <f>D99*E99</f>
        <v>0</v>
      </c>
    </row>
    <row r="100" spans="1:6" ht="12.75">
      <c r="A100" s="793"/>
      <c r="B100" s="787"/>
      <c r="C100" s="778"/>
      <c r="D100" s="789"/>
      <c r="E100" s="840"/>
      <c r="F100" s="790"/>
    </row>
    <row r="101" spans="1:6" ht="12.75">
      <c r="A101" s="793" t="s">
        <v>4087</v>
      </c>
      <c r="B101" s="895" t="s">
        <v>4168</v>
      </c>
      <c r="C101" s="778"/>
      <c r="D101" s="789"/>
      <c r="E101" s="840"/>
      <c r="F101" s="790"/>
    </row>
    <row r="102" spans="1:6" ht="33.75">
      <c r="A102" s="793"/>
      <c r="B102" s="812" t="s">
        <v>4169</v>
      </c>
      <c r="C102" s="778"/>
      <c r="D102" s="1020"/>
      <c r="E102" s="840"/>
      <c r="F102" s="790"/>
    </row>
    <row r="103" spans="1:6" ht="12.75">
      <c r="A103" s="793"/>
      <c r="B103" s="786" t="s">
        <v>4170</v>
      </c>
      <c r="C103" s="922" t="s">
        <v>3770</v>
      </c>
      <c r="D103" s="1039">
        <v>1</v>
      </c>
      <c r="E103" s="155"/>
      <c r="F103" s="910">
        <f>D103*E103</f>
        <v>0</v>
      </c>
    </row>
    <row r="104" spans="1:6" ht="12.75">
      <c r="A104" s="793"/>
      <c r="B104" s="786"/>
      <c r="C104" s="1040"/>
      <c r="D104" s="789"/>
      <c r="E104" s="841"/>
      <c r="F104" s="791"/>
    </row>
    <row r="105" spans="1:6" ht="12.75">
      <c r="A105" s="793" t="s">
        <v>4090</v>
      </c>
      <c r="B105" s="895" t="s">
        <v>4171</v>
      </c>
      <c r="C105" s="1040"/>
      <c r="D105" s="789"/>
      <c r="E105" s="840"/>
      <c r="F105" s="790"/>
    </row>
    <row r="106" spans="1:6" ht="78.75">
      <c r="A106" s="793"/>
      <c r="B106" s="812" t="s">
        <v>4172</v>
      </c>
      <c r="C106" s="1040"/>
      <c r="D106" s="789"/>
      <c r="E106" s="841"/>
      <c r="F106" s="791"/>
    </row>
    <row r="107" spans="1:6" ht="22.5">
      <c r="A107" s="793"/>
      <c r="B107" s="786" t="s">
        <v>4173</v>
      </c>
      <c r="C107" s="922" t="s">
        <v>3967</v>
      </c>
      <c r="D107" s="1039">
        <v>1</v>
      </c>
      <c r="E107" s="155"/>
      <c r="F107" s="910">
        <f>D107*E107</f>
        <v>0</v>
      </c>
    </row>
    <row r="108" spans="1:6" ht="56.25">
      <c r="A108" s="793"/>
      <c r="B108" s="786" t="s">
        <v>4174</v>
      </c>
      <c r="C108" s="922" t="s">
        <v>3967</v>
      </c>
      <c r="D108" s="1039">
        <v>2</v>
      </c>
      <c r="E108" s="155"/>
      <c r="F108" s="910">
        <f>D108*E108</f>
        <v>0</v>
      </c>
    </row>
    <row r="109" spans="1:6" ht="12.75">
      <c r="A109" s="793"/>
      <c r="B109" s="786" t="s">
        <v>4175</v>
      </c>
      <c r="C109" s="922" t="s">
        <v>3770</v>
      </c>
      <c r="D109" s="1039">
        <v>2</v>
      </c>
      <c r="E109" s="155"/>
      <c r="F109" s="910">
        <f>D109*E109</f>
        <v>0</v>
      </c>
    </row>
    <row r="110" spans="1:6" ht="12.75">
      <c r="A110" s="793"/>
      <c r="B110" s="786" t="s">
        <v>4176</v>
      </c>
      <c r="C110" s="922" t="s">
        <v>3770</v>
      </c>
      <c r="D110" s="1039">
        <v>2</v>
      </c>
      <c r="E110" s="155"/>
      <c r="F110" s="910">
        <f>D110*E110</f>
        <v>0</v>
      </c>
    </row>
    <row r="111" spans="1:6" ht="90">
      <c r="A111" s="793"/>
      <c r="B111" s="1041" t="s">
        <v>4177</v>
      </c>
      <c r="C111" s="1040"/>
      <c r="D111" s="789"/>
      <c r="E111" s="840"/>
      <c r="F111" s="790"/>
    </row>
    <row r="112" spans="1:6" ht="33.75">
      <c r="A112" s="793"/>
      <c r="B112" s="786" t="s">
        <v>4178</v>
      </c>
      <c r="C112" s="922" t="s">
        <v>3770</v>
      </c>
      <c r="D112" s="1039">
        <v>1</v>
      </c>
      <c r="E112" s="155"/>
      <c r="F112" s="910">
        <f>D112*E112</f>
        <v>0</v>
      </c>
    </row>
    <row r="113" spans="1:6" ht="12.75">
      <c r="A113" s="793"/>
      <c r="B113" s="786" t="s">
        <v>4179</v>
      </c>
      <c r="C113" s="922" t="s">
        <v>3770</v>
      </c>
      <c r="D113" s="1039">
        <v>3</v>
      </c>
      <c r="E113" s="155"/>
      <c r="F113" s="910">
        <f>D113*E113</f>
        <v>0</v>
      </c>
    </row>
    <row r="114" spans="1:6" ht="12.75">
      <c r="A114" s="793"/>
      <c r="B114" s="786" t="s">
        <v>4180</v>
      </c>
      <c r="C114" s="922" t="s">
        <v>3770</v>
      </c>
      <c r="D114" s="1039">
        <v>1</v>
      </c>
      <c r="E114" s="155"/>
      <c r="F114" s="910">
        <f>D114*E114</f>
        <v>0</v>
      </c>
    </row>
    <row r="115" spans="1:6" ht="12.75">
      <c r="A115" s="921"/>
      <c r="B115" s="921"/>
      <c r="C115" s="922"/>
      <c r="D115" s="923"/>
      <c r="E115" s="996"/>
      <c r="F115" s="924"/>
    </row>
    <row r="116" spans="1:6" ht="12.75">
      <c r="A116" s="793" t="s">
        <v>4093</v>
      </c>
      <c r="B116" s="895" t="s">
        <v>4181</v>
      </c>
      <c r="C116" s="922"/>
      <c r="D116" s="923"/>
      <c r="E116" s="996"/>
      <c r="F116" s="924"/>
    </row>
    <row r="117" spans="1:6" ht="67.5">
      <c r="A117" s="921"/>
      <c r="B117" s="1014" t="s">
        <v>4182</v>
      </c>
      <c r="C117" s="922"/>
      <c r="D117" s="923"/>
      <c r="E117" s="996"/>
      <c r="F117" s="924"/>
    </row>
    <row r="118" spans="1:6" ht="33.75">
      <c r="A118" s="921"/>
      <c r="B118" s="1014" t="s">
        <v>4183</v>
      </c>
      <c r="C118" s="922"/>
      <c r="D118" s="923"/>
      <c r="E118" s="996"/>
      <c r="F118" s="924"/>
    </row>
    <row r="119" spans="1:6" ht="13.5">
      <c r="A119" s="926"/>
      <c r="B119" s="857" t="s">
        <v>4184</v>
      </c>
      <c r="C119" s="1042"/>
      <c r="D119" s="1043"/>
      <c r="E119" s="1058"/>
      <c r="F119" s="1044"/>
    </row>
    <row r="120" spans="1:6" ht="13.5">
      <c r="A120" s="926"/>
      <c r="B120" s="861" t="s">
        <v>4185</v>
      </c>
      <c r="C120" s="922" t="s">
        <v>1184</v>
      </c>
      <c r="D120" s="923">
        <v>10</v>
      </c>
      <c r="E120" s="155"/>
      <c r="F120" s="910">
        <f>D120*E120</f>
        <v>0</v>
      </c>
    </row>
    <row r="121" spans="1:6" ht="13.5">
      <c r="A121" s="926"/>
      <c r="B121" s="861" t="s">
        <v>4186</v>
      </c>
      <c r="C121" s="922" t="s">
        <v>1184</v>
      </c>
      <c r="D121" s="923">
        <v>22</v>
      </c>
      <c r="E121" s="155"/>
      <c r="F121" s="910">
        <f>D121*E121</f>
        <v>0</v>
      </c>
    </row>
    <row r="122" spans="1:6" ht="13.5">
      <c r="A122" s="926"/>
      <c r="B122" s="861" t="s">
        <v>4187</v>
      </c>
      <c r="C122" s="922" t="s">
        <v>3770</v>
      </c>
      <c r="D122" s="923">
        <v>1</v>
      </c>
      <c r="E122" s="155"/>
      <c r="F122" s="910">
        <f>D122*E122</f>
        <v>0</v>
      </c>
    </row>
    <row r="123" spans="1:6" ht="12.75">
      <c r="A123" s="921"/>
      <c r="B123" s="921"/>
      <c r="C123" s="922"/>
      <c r="D123" s="923"/>
      <c r="E123" s="996"/>
      <c r="F123" s="924"/>
    </row>
    <row r="124" spans="1:6" ht="12.75">
      <c r="A124" s="793" t="s">
        <v>4096</v>
      </c>
      <c r="B124" s="895" t="s">
        <v>4188</v>
      </c>
      <c r="C124" s="922"/>
      <c r="D124" s="923"/>
      <c r="E124" s="996"/>
      <c r="F124" s="924"/>
    </row>
    <row r="125" spans="1:6" ht="56.25">
      <c r="A125" s="921"/>
      <c r="B125" s="925" t="s">
        <v>4189</v>
      </c>
      <c r="C125" s="922"/>
      <c r="D125" s="923"/>
      <c r="E125" s="996"/>
      <c r="F125" s="924"/>
    </row>
    <row r="126" spans="1:6" ht="13.5">
      <c r="A126" s="926"/>
      <c r="B126" s="861" t="s">
        <v>4086</v>
      </c>
      <c r="C126" s="922" t="s">
        <v>1184</v>
      </c>
      <c r="D126" s="923">
        <v>160</v>
      </c>
      <c r="E126" s="155"/>
      <c r="F126" s="910">
        <f>D126*E126</f>
        <v>0</v>
      </c>
    </row>
    <row r="127" spans="1:6" ht="12.75">
      <c r="A127" s="921"/>
      <c r="B127" s="921"/>
      <c r="C127" s="922"/>
      <c r="D127" s="923"/>
      <c r="E127" s="996"/>
      <c r="F127" s="924"/>
    </row>
    <row r="128" spans="1:6" ht="12.75">
      <c r="A128" s="793" t="s">
        <v>4190</v>
      </c>
      <c r="B128" s="895" t="s">
        <v>4191</v>
      </c>
      <c r="C128" s="922"/>
      <c r="D128" s="923"/>
      <c r="E128" s="996"/>
      <c r="F128" s="924"/>
    </row>
    <row r="129" spans="1:6" ht="56.25">
      <c r="A129" s="921"/>
      <c r="B129" s="925" t="s">
        <v>4192</v>
      </c>
      <c r="C129" s="922"/>
      <c r="D129" s="923"/>
      <c r="E129" s="996"/>
      <c r="F129" s="924"/>
    </row>
    <row r="130" spans="1:6" ht="13.5">
      <c r="A130" s="926"/>
      <c r="B130" s="861" t="s">
        <v>4086</v>
      </c>
      <c r="C130" s="922" t="s">
        <v>1184</v>
      </c>
      <c r="D130" s="923">
        <v>140</v>
      </c>
      <c r="E130" s="155"/>
      <c r="F130" s="910">
        <f>D130*E130</f>
        <v>0</v>
      </c>
    </row>
    <row r="131" spans="1:6" ht="12.75">
      <c r="A131" s="921"/>
      <c r="B131" s="921"/>
      <c r="C131" s="922"/>
      <c r="D131" s="923"/>
      <c r="E131" s="996"/>
      <c r="F131" s="924"/>
    </row>
    <row r="132" spans="1:6" ht="12.75">
      <c r="A132" s="793" t="s">
        <v>4193</v>
      </c>
      <c r="B132" s="895" t="s">
        <v>4194</v>
      </c>
      <c r="C132" s="922"/>
      <c r="D132" s="923"/>
      <c r="E132" s="996"/>
      <c r="F132" s="924"/>
    </row>
    <row r="133" spans="1:6" ht="56.25">
      <c r="A133" s="921"/>
      <c r="B133" s="925" t="s">
        <v>4195</v>
      </c>
      <c r="C133" s="922"/>
      <c r="D133" s="923"/>
      <c r="E133" s="996"/>
      <c r="F133" s="924"/>
    </row>
    <row r="134" spans="1:6" ht="13.5">
      <c r="A134" s="926"/>
      <c r="B134" s="861"/>
      <c r="C134" s="922" t="s">
        <v>3770</v>
      </c>
      <c r="D134" s="923">
        <v>2</v>
      </c>
      <c r="E134" s="155"/>
      <c r="F134" s="910">
        <f>D134*E134</f>
        <v>0</v>
      </c>
    </row>
    <row r="135" spans="1:6" ht="15.75" thickBot="1">
      <c r="A135" s="1045"/>
      <c r="B135" s="1045"/>
      <c r="C135" s="1045"/>
      <c r="D135" s="1045"/>
      <c r="E135" s="1059"/>
      <c r="F135" s="1046"/>
    </row>
    <row r="136" spans="1:6" ht="13.5" thickBot="1">
      <c r="A136" s="1047" t="s">
        <v>980</v>
      </c>
      <c r="B136" s="820" t="s">
        <v>4196</v>
      </c>
      <c r="C136" s="821"/>
      <c r="D136" s="821" t="s">
        <v>3989</v>
      </c>
      <c r="E136" s="1060"/>
      <c r="F136" s="823">
        <f>SUM(F8:F135)</f>
        <v>0</v>
      </c>
    </row>
    <row r="137" spans="1:6">
      <c r="E137" s="835"/>
    </row>
    <row r="138" spans="1:6">
      <c r="E138" s="835"/>
    </row>
  </sheetData>
  <sheetProtection algorithmName="SHA-512" hashValue="FOsxfRHuOUnE35Fp0lBEJ+qVg8Srzv5KM1ZDQ1HJhtpw2kuzkdhfmymTIm1ec3UH9oMiGHPFKFIgHm4oT5CWaA==" saltValue="EmX/f358kSml5g7AwTREdA==" spinCount="100000" sheet="1" objects="1" scenarios="1"/>
  <protectedRanges>
    <protectedRange sqref="E19:F19" name="Range1_20"/>
    <protectedRange sqref="E21:F21" name="Range1_20_1"/>
    <protectedRange sqref="E27:F27 E29:F29 E23:F23 E25:F25" name="Range1_23"/>
    <protectedRange sqref="E31:F33" name="Range1_12"/>
    <protectedRange sqref="E35:F37 E39:F41" name="Range1_45_1"/>
    <protectedRange sqref="E100:F102" name="Range1_48"/>
    <protectedRange sqref="E111:F111 E105:F105" name="Range1_4_1_1"/>
    <protectedRange sqref="E119:F119" name="Range1_11_2"/>
  </protectedRanges>
  <mergeCells count="2">
    <mergeCell ref="B1:F1"/>
    <mergeCell ref="A2:F2"/>
  </mergeCells>
  <printOptions horizontalCentered="1" gridLinesSet="0"/>
  <pageMargins left="0.59055118110236227" right="0.19685039370078741" top="0.39370078740157483" bottom="0.39370078740157483" header="0.47244094488188981" footer="0.51181102362204722"/>
  <pageSetup paperSize="9" scale="91" orientation="portrait" r:id="rId1"/>
  <headerFooter alignWithMargins="0">
    <oddFooter>&amp;L&amp;8 3. HIDROTEHNIČKE INSTALACIJE&amp;R&amp;8&amp;P</oddFooter>
  </headerFooter>
  <rowBreaks count="6" manualBreakCount="6">
    <brk id="30" max="5" man="1"/>
    <brk id="49" max="5" man="1"/>
    <brk id="62" max="5" man="1"/>
    <brk id="78" max="5" man="1"/>
    <brk id="103" max="5" man="1"/>
    <brk id="130"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J140"/>
  <sheetViews>
    <sheetView showGridLines="0" showZeros="0" topLeftCell="A24" zoomScale="85" zoomScaleNormal="85" zoomScaleSheetLayoutView="85" workbookViewId="0">
      <selection activeCell="B28" sqref="B28"/>
    </sheetView>
  </sheetViews>
  <sheetFormatPr defaultRowHeight="15"/>
  <cols>
    <col min="1" max="1" width="7.7109375" style="888" customWidth="1"/>
    <col min="2" max="2" width="50.7109375" style="888" customWidth="1"/>
    <col min="3" max="3" width="9" style="888" customWidth="1"/>
    <col min="4" max="4" width="8.7109375" style="888" customWidth="1"/>
    <col min="5" max="5" width="7.85546875" style="888" customWidth="1"/>
    <col min="6" max="6" width="10.7109375" style="1104" customWidth="1"/>
    <col min="7" max="256" width="9.140625" style="888"/>
    <col min="257" max="257" width="7.7109375" style="888" customWidth="1"/>
    <col min="258" max="258" width="50.7109375" style="888" customWidth="1"/>
    <col min="259" max="259" width="9" style="888" customWidth="1"/>
    <col min="260" max="260" width="8.7109375" style="888" customWidth="1"/>
    <col min="261" max="261" width="7.85546875" style="888" customWidth="1"/>
    <col min="262" max="262" width="10.7109375" style="888" customWidth="1"/>
    <col min="263" max="512" width="9.140625" style="888"/>
    <col min="513" max="513" width="7.7109375" style="888" customWidth="1"/>
    <col min="514" max="514" width="50.7109375" style="888" customWidth="1"/>
    <col min="515" max="515" width="9" style="888" customWidth="1"/>
    <col min="516" max="516" width="8.7109375" style="888" customWidth="1"/>
    <col min="517" max="517" width="7.85546875" style="888" customWidth="1"/>
    <col min="518" max="518" width="10.7109375" style="888" customWidth="1"/>
    <col min="519" max="768" width="9.140625" style="888"/>
    <col min="769" max="769" width="7.7109375" style="888" customWidth="1"/>
    <col min="770" max="770" width="50.7109375" style="888" customWidth="1"/>
    <col min="771" max="771" width="9" style="888" customWidth="1"/>
    <col min="772" max="772" width="8.7109375" style="888" customWidth="1"/>
    <col min="773" max="773" width="7.85546875" style="888" customWidth="1"/>
    <col min="774" max="774" width="10.7109375" style="888" customWidth="1"/>
    <col min="775" max="1024" width="9.140625" style="888"/>
    <col min="1025" max="1025" width="7.7109375" style="888" customWidth="1"/>
    <col min="1026" max="1026" width="50.7109375" style="888" customWidth="1"/>
    <col min="1027" max="1027" width="9" style="888" customWidth="1"/>
    <col min="1028" max="1028" width="8.7109375" style="888" customWidth="1"/>
    <col min="1029" max="1029" width="7.85546875" style="888" customWidth="1"/>
    <col min="1030" max="1030" width="10.7109375" style="888" customWidth="1"/>
    <col min="1031" max="1280" width="9.140625" style="888"/>
    <col min="1281" max="1281" width="7.7109375" style="888" customWidth="1"/>
    <col min="1282" max="1282" width="50.7109375" style="888" customWidth="1"/>
    <col min="1283" max="1283" width="9" style="888" customWidth="1"/>
    <col min="1284" max="1284" width="8.7109375" style="888" customWidth="1"/>
    <col min="1285" max="1285" width="7.85546875" style="888" customWidth="1"/>
    <col min="1286" max="1286" width="10.7109375" style="888" customWidth="1"/>
    <col min="1287" max="1536" width="9.140625" style="888"/>
    <col min="1537" max="1537" width="7.7109375" style="888" customWidth="1"/>
    <col min="1538" max="1538" width="50.7109375" style="888" customWidth="1"/>
    <col min="1539" max="1539" width="9" style="888" customWidth="1"/>
    <col min="1540" max="1540" width="8.7109375" style="888" customWidth="1"/>
    <col min="1541" max="1541" width="7.85546875" style="888" customWidth="1"/>
    <col min="1542" max="1542" width="10.7109375" style="888" customWidth="1"/>
    <col min="1543" max="1792" width="9.140625" style="888"/>
    <col min="1793" max="1793" width="7.7109375" style="888" customWidth="1"/>
    <col min="1794" max="1794" width="50.7109375" style="888" customWidth="1"/>
    <col min="1795" max="1795" width="9" style="888" customWidth="1"/>
    <col min="1796" max="1796" width="8.7109375" style="888" customWidth="1"/>
    <col min="1797" max="1797" width="7.85546875" style="888" customWidth="1"/>
    <col min="1798" max="1798" width="10.7109375" style="888" customWidth="1"/>
    <col min="1799" max="2048" width="9.140625" style="888"/>
    <col min="2049" max="2049" width="7.7109375" style="888" customWidth="1"/>
    <col min="2050" max="2050" width="50.7109375" style="888" customWidth="1"/>
    <col min="2051" max="2051" width="9" style="888" customWidth="1"/>
    <col min="2052" max="2052" width="8.7109375" style="888" customWidth="1"/>
    <col min="2053" max="2053" width="7.85546875" style="888" customWidth="1"/>
    <col min="2054" max="2054" width="10.7109375" style="888" customWidth="1"/>
    <col min="2055" max="2304" width="9.140625" style="888"/>
    <col min="2305" max="2305" width="7.7109375" style="888" customWidth="1"/>
    <col min="2306" max="2306" width="50.7109375" style="888" customWidth="1"/>
    <col min="2307" max="2307" width="9" style="888" customWidth="1"/>
    <col min="2308" max="2308" width="8.7109375" style="888" customWidth="1"/>
    <col min="2309" max="2309" width="7.85546875" style="888" customWidth="1"/>
    <col min="2310" max="2310" width="10.7109375" style="888" customWidth="1"/>
    <col min="2311" max="2560" width="9.140625" style="888"/>
    <col min="2561" max="2561" width="7.7109375" style="888" customWidth="1"/>
    <col min="2562" max="2562" width="50.7109375" style="888" customWidth="1"/>
    <col min="2563" max="2563" width="9" style="888" customWidth="1"/>
    <col min="2564" max="2564" width="8.7109375" style="888" customWidth="1"/>
    <col min="2565" max="2565" width="7.85546875" style="888" customWidth="1"/>
    <col min="2566" max="2566" width="10.7109375" style="888" customWidth="1"/>
    <col min="2567" max="2816" width="9.140625" style="888"/>
    <col min="2817" max="2817" width="7.7109375" style="888" customWidth="1"/>
    <col min="2818" max="2818" width="50.7109375" style="888" customWidth="1"/>
    <col min="2819" max="2819" width="9" style="888" customWidth="1"/>
    <col min="2820" max="2820" width="8.7109375" style="888" customWidth="1"/>
    <col min="2821" max="2821" width="7.85546875" style="888" customWidth="1"/>
    <col min="2822" max="2822" width="10.7109375" style="888" customWidth="1"/>
    <col min="2823" max="3072" width="9.140625" style="888"/>
    <col min="3073" max="3073" width="7.7109375" style="888" customWidth="1"/>
    <col min="3074" max="3074" width="50.7109375" style="888" customWidth="1"/>
    <col min="3075" max="3075" width="9" style="888" customWidth="1"/>
    <col min="3076" max="3076" width="8.7109375" style="888" customWidth="1"/>
    <col min="3077" max="3077" width="7.85546875" style="888" customWidth="1"/>
    <col min="3078" max="3078" width="10.7109375" style="888" customWidth="1"/>
    <col min="3079" max="3328" width="9.140625" style="888"/>
    <col min="3329" max="3329" width="7.7109375" style="888" customWidth="1"/>
    <col min="3330" max="3330" width="50.7109375" style="888" customWidth="1"/>
    <col min="3331" max="3331" width="9" style="888" customWidth="1"/>
    <col min="3332" max="3332" width="8.7109375" style="888" customWidth="1"/>
    <col min="3333" max="3333" width="7.85546875" style="888" customWidth="1"/>
    <col min="3334" max="3334" width="10.7109375" style="888" customWidth="1"/>
    <col min="3335" max="3584" width="9.140625" style="888"/>
    <col min="3585" max="3585" width="7.7109375" style="888" customWidth="1"/>
    <col min="3586" max="3586" width="50.7109375" style="888" customWidth="1"/>
    <col min="3587" max="3587" width="9" style="888" customWidth="1"/>
    <col min="3588" max="3588" width="8.7109375" style="888" customWidth="1"/>
    <col min="3589" max="3589" width="7.85546875" style="888" customWidth="1"/>
    <col min="3590" max="3590" width="10.7109375" style="888" customWidth="1"/>
    <col min="3591" max="3840" width="9.140625" style="888"/>
    <col min="3841" max="3841" width="7.7109375" style="888" customWidth="1"/>
    <col min="3842" max="3842" width="50.7109375" style="888" customWidth="1"/>
    <col min="3843" max="3843" width="9" style="888" customWidth="1"/>
    <col min="3844" max="3844" width="8.7109375" style="888" customWidth="1"/>
    <col min="3845" max="3845" width="7.85546875" style="888" customWidth="1"/>
    <col min="3846" max="3846" width="10.7109375" style="888" customWidth="1"/>
    <col min="3847" max="4096" width="9.140625" style="888"/>
    <col min="4097" max="4097" width="7.7109375" style="888" customWidth="1"/>
    <col min="4098" max="4098" width="50.7109375" style="888" customWidth="1"/>
    <col min="4099" max="4099" width="9" style="888" customWidth="1"/>
    <col min="4100" max="4100" width="8.7109375" style="888" customWidth="1"/>
    <col min="4101" max="4101" width="7.85546875" style="888" customWidth="1"/>
    <col min="4102" max="4102" width="10.7109375" style="888" customWidth="1"/>
    <col min="4103" max="4352" width="9.140625" style="888"/>
    <col min="4353" max="4353" width="7.7109375" style="888" customWidth="1"/>
    <col min="4354" max="4354" width="50.7109375" style="888" customWidth="1"/>
    <col min="4355" max="4355" width="9" style="888" customWidth="1"/>
    <col min="4356" max="4356" width="8.7109375" style="888" customWidth="1"/>
    <col min="4357" max="4357" width="7.85546875" style="888" customWidth="1"/>
    <col min="4358" max="4358" width="10.7109375" style="888" customWidth="1"/>
    <col min="4359" max="4608" width="9.140625" style="888"/>
    <col min="4609" max="4609" width="7.7109375" style="888" customWidth="1"/>
    <col min="4610" max="4610" width="50.7109375" style="888" customWidth="1"/>
    <col min="4611" max="4611" width="9" style="888" customWidth="1"/>
    <col min="4612" max="4612" width="8.7109375" style="888" customWidth="1"/>
    <col min="4613" max="4613" width="7.85546875" style="888" customWidth="1"/>
    <col min="4614" max="4614" width="10.7109375" style="888" customWidth="1"/>
    <col min="4615" max="4864" width="9.140625" style="888"/>
    <col min="4865" max="4865" width="7.7109375" style="888" customWidth="1"/>
    <col min="4866" max="4866" width="50.7109375" style="888" customWidth="1"/>
    <col min="4867" max="4867" width="9" style="888" customWidth="1"/>
    <col min="4868" max="4868" width="8.7109375" style="888" customWidth="1"/>
    <col min="4869" max="4869" width="7.85546875" style="888" customWidth="1"/>
    <col min="4870" max="4870" width="10.7109375" style="888" customWidth="1"/>
    <col min="4871" max="5120" width="9.140625" style="888"/>
    <col min="5121" max="5121" width="7.7109375" style="888" customWidth="1"/>
    <col min="5122" max="5122" width="50.7109375" style="888" customWidth="1"/>
    <col min="5123" max="5123" width="9" style="888" customWidth="1"/>
    <col min="5124" max="5124" width="8.7109375" style="888" customWidth="1"/>
    <col min="5125" max="5125" width="7.85546875" style="888" customWidth="1"/>
    <col min="5126" max="5126" width="10.7109375" style="888" customWidth="1"/>
    <col min="5127" max="5376" width="9.140625" style="888"/>
    <col min="5377" max="5377" width="7.7109375" style="888" customWidth="1"/>
    <col min="5378" max="5378" width="50.7109375" style="888" customWidth="1"/>
    <col min="5379" max="5379" width="9" style="888" customWidth="1"/>
    <col min="5380" max="5380" width="8.7109375" style="888" customWidth="1"/>
    <col min="5381" max="5381" width="7.85546875" style="888" customWidth="1"/>
    <col min="5382" max="5382" width="10.7109375" style="888" customWidth="1"/>
    <col min="5383" max="5632" width="9.140625" style="888"/>
    <col min="5633" max="5633" width="7.7109375" style="888" customWidth="1"/>
    <col min="5634" max="5634" width="50.7109375" style="888" customWidth="1"/>
    <col min="5635" max="5635" width="9" style="888" customWidth="1"/>
    <col min="5636" max="5636" width="8.7109375" style="888" customWidth="1"/>
    <col min="5637" max="5637" width="7.85546875" style="888" customWidth="1"/>
    <col min="5638" max="5638" width="10.7109375" style="888" customWidth="1"/>
    <col min="5639" max="5888" width="9.140625" style="888"/>
    <col min="5889" max="5889" width="7.7109375" style="888" customWidth="1"/>
    <col min="5890" max="5890" width="50.7109375" style="888" customWidth="1"/>
    <col min="5891" max="5891" width="9" style="888" customWidth="1"/>
    <col min="5892" max="5892" width="8.7109375" style="888" customWidth="1"/>
    <col min="5893" max="5893" width="7.85546875" style="888" customWidth="1"/>
    <col min="5894" max="5894" width="10.7109375" style="888" customWidth="1"/>
    <col min="5895" max="6144" width="9.140625" style="888"/>
    <col min="6145" max="6145" width="7.7109375" style="888" customWidth="1"/>
    <col min="6146" max="6146" width="50.7109375" style="888" customWidth="1"/>
    <col min="6147" max="6147" width="9" style="888" customWidth="1"/>
    <col min="6148" max="6148" width="8.7109375" style="888" customWidth="1"/>
    <col min="6149" max="6149" width="7.85546875" style="888" customWidth="1"/>
    <col min="6150" max="6150" width="10.7109375" style="888" customWidth="1"/>
    <col min="6151" max="6400" width="9.140625" style="888"/>
    <col min="6401" max="6401" width="7.7109375" style="888" customWidth="1"/>
    <col min="6402" max="6402" width="50.7109375" style="888" customWidth="1"/>
    <col min="6403" max="6403" width="9" style="888" customWidth="1"/>
    <col min="6404" max="6404" width="8.7109375" style="888" customWidth="1"/>
    <col min="6405" max="6405" width="7.85546875" style="888" customWidth="1"/>
    <col min="6406" max="6406" width="10.7109375" style="888" customWidth="1"/>
    <col min="6407" max="6656" width="9.140625" style="888"/>
    <col min="6657" max="6657" width="7.7109375" style="888" customWidth="1"/>
    <col min="6658" max="6658" width="50.7109375" style="888" customWidth="1"/>
    <col min="6659" max="6659" width="9" style="888" customWidth="1"/>
    <col min="6660" max="6660" width="8.7109375" style="888" customWidth="1"/>
    <col min="6661" max="6661" width="7.85546875" style="888" customWidth="1"/>
    <col min="6662" max="6662" width="10.7109375" style="888" customWidth="1"/>
    <col min="6663" max="6912" width="9.140625" style="888"/>
    <col min="6913" max="6913" width="7.7109375" style="888" customWidth="1"/>
    <col min="6914" max="6914" width="50.7109375" style="888" customWidth="1"/>
    <col min="6915" max="6915" width="9" style="888" customWidth="1"/>
    <col min="6916" max="6916" width="8.7109375" style="888" customWidth="1"/>
    <col min="6917" max="6917" width="7.85546875" style="888" customWidth="1"/>
    <col min="6918" max="6918" width="10.7109375" style="888" customWidth="1"/>
    <col min="6919" max="7168" width="9.140625" style="888"/>
    <col min="7169" max="7169" width="7.7109375" style="888" customWidth="1"/>
    <col min="7170" max="7170" width="50.7109375" style="888" customWidth="1"/>
    <col min="7171" max="7171" width="9" style="888" customWidth="1"/>
    <col min="7172" max="7172" width="8.7109375" style="888" customWidth="1"/>
    <col min="7173" max="7173" width="7.85546875" style="888" customWidth="1"/>
    <col min="7174" max="7174" width="10.7109375" style="888" customWidth="1"/>
    <col min="7175" max="7424" width="9.140625" style="888"/>
    <col min="7425" max="7425" width="7.7109375" style="888" customWidth="1"/>
    <col min="7426" max="7426" width="50.7109375" style="888" customWidth="1"/>
    <col min="7427" max="7427" width="9" style="888" customWidth="1"/>
    <col min="7428" max="7428" width="8.7109375" style="888" customWidth="1"/>
    <col min="7429" max="7429" width="7.85546875" style="888" customWidth="1"/>
    <col min="7430" max="7430" width="10.7109375" style="888" customWidth="1"/>
    <col min="7431" max="7680" width="9.140625" style="888"/>
    <col min="7681" max="7681" width="7.7109375" style="888" customWidth="1"/>
    <col min="7682" max="7682" width="50.7109375" style="888" customWidth="1"/>
    <col min="7683" max="7683" width="9" style="888" customWidth="1"/>
    <col min="7684" max="7684" width="8.7109375" style="888" customWidth="1"/>
    <col min="7685" max="7685" width="7.85546875" style="888" customWidth="1"/>
    <col min="7686" max="7686" width="10.7109375" style="888" customWidth="1"/>
    <col min="7687" max="7936" width="9.140625" style="888"/>
    <col min="7937" max="7937" width="7.7109375" style="888" customWidth="1"/>
    <col min="7938" max="7938" width="50.7109375" style="888" customWidth="1"/>
    <col min="7939" max="7939" width="9" style="888" customWidth="1"/>
    <col min="7940" max="7940" width="8.7109375" style="888" customWidth="1"/>
    <col min="7941" max="7941" width="7.85546875" style="888" customWidth="1"/>
    <col min="7942" max="7942" width="10.7109375" style="888" customWidth="1"/>
    <col min="7943" max="8192" width="9.140625" style="888"/>
    <col min="8193" max="8193" width="7.7109375" style="888" customWidth="1"/>
    <col min="8194" max="8194" width="50.7109375" style="888" customWidth="1"/>
    <col min="8195" max="8195" width="9" style="888" customWidth="1"/>
    <col min="8196" max="8196" width="8.7109375" style="888" customWidth="1"/>
    <col min="8197" max="8197" width="7.85546875" style="888" customWidth="1"/>
    <col min="8198" max="8198" width="10.7109375" style="888" customWidth="1"/>
    <col min="8199" max="8448" width="9.140625" style="888"/>
    <col min="8449" max="8449" width="7.7109375" style="888" customWidth="1"/>
    <col min="8450" max="8450" width="50.7109375" style="888" customWidth="1"/>
    <col min="8451" max="8451" width="9" style="888" customWidth="1"/>
    <col min="8452" max="8452" width="8.7109375" style="888" customWidth="1"/>
    <col min="8453" max="8453" width="7.85546875" style="888" customWidth="1"/>
    <col min="8454" max="8454" width="10.7109375" style="888" customWidth="1"/>
    <col min="8455" max="8704" width="9.140625" style="888"/>
    <col min="8705" max="8705" width="7.7109375" style="888" customWidth="1"/>
    <col min="8706" max="8706" width="50.7109375" style="888" customWidth="1"/>
    <col min="8707" max="8707" width="9" style="888" customWidth="1"/>
    <col min="8708" max="8708" width="8.7109375" style="888" customWidth="1"/>
    <col min="8709" max="8709" width="7.85546875" style="888" customWidth="1"/>
    <col min="8710" max="8710" width="10.7109375" style="888" customWidth="1"/>
    <col min="8711" max="8960" width="9.140625" style="888"/>
    <col min="8961" max="8961" width="7.7109375" style="888" customWidth="1"/>
    <col min="8962" max="8962" width="50.7109375" style="888" customWidth="1"/>
    <col min="8963" max="8963" width="9" style="888" customWidth="1"/>
    <col min="8964" max="8964" width="8.7109375" style="888" customWidth="1"/>
    <col min="8965" max="8965" width="7.85546875" style="888" customWidth="1"/>
    <col min="8966" max="8966" width="10.7109375" style="888" customWidth="1"/>
    <col min="8967" max="9216" width="9.140625" style="888"/>
    <col min="9217" max="9217" width="7.7109375" style="888" customWidth="1"/>
    <col min="9218" max="9218" width="50.7109375" style="888" customWidth="1"/>
    <col min="9219" max="9219" width="9" style="888" customWidth="1"/>
    <col min="9220" max="9220" width="8.7109375" style="888" customWidth="1"/>
    <col min="9221" max="9221" width="7.85546875" style="888" customWidth="1"/>
    <col min="9222" max="9222" width="10.7109375" style="888" customWidth="1"/>
    <col min="9223" max="9472" width="9.140625" style="888"/>
    <col min="9473" max="9473" width="7.7109375" style="888" customWidth="1"/>
    <col min="9474" max="9474" width="50.7109375" style="888" customWidth="1"/>
    <col min="9475" max="9475" width="9" style="888" customWidth="1"/>
    <col min="9476" max="9476" width="8.7109375" style="888" customWidth="1"/>
    <col min="9477" max="9477" width="7.85546875" style="888" customWidth="1"/>
    <col min="9478" max="9478" width="10.7109375" style="888" customWidth="1"/>
    <col min="9479" max="9728" width="9.140625" style="888"/>
    <col min="9729" max="9729" width="7.7109375" style="888" customWidth="1"/>
    <col min="9730" max="9730" width="50.7109375" style="888" customWidth="1"/>
    <col min="9731" max="9731" width="9" style="888" customWidth="1"/>
    <col min="9732" max="9732" width="8.7109375" style="888" customWidth="1"/>
    <col min="9733" max="9733" width="7.85546875" style="888" customWidth="1"/>
    <col min="9734" max="9734" width="10.7109375" style="888" customWidth="1"/>
    <col min="9735" max="9984" width="9.140625" style="888"/>
    <col min="9985" max="9985" width="7.7109375" style="888" customWidth="1"/>
    <col min="9986" max="9986" width="50.7109375" style="888" customWidth="1"/>
    <col min="9987" max="9987" width="9" style="888" customWidth="1"/>
    <col min="9988" max="9988" width="8.7109375" style="888" customWidth="1"/>
    <col min="9989" max="9989" width="7.85546875" style="888" customWidth="1"/>
    <col min="9990" max="9990" width="10.7109375" style="888" customWidth="1"/>
    <col min="9991" max="10240" width="9.140625" style="888"/>
    <col min="10241" max="10241" width="7.7109375" style="888" customWidth="1"/>
    <col min="10242" max="10242" width="50.7109375" style="888" customWidth="1"/>
    <col min="10243" max="10243" width="9" style="888" customWidth="1"/>
    <col min="10244" max="10244" width="8.7109375" style="888" customWidth="1"/>
    <col min="10245" max="10245" width="7.85546875" style="888" customWidth="1"/>
    <col min="10246" max="10246" width="10.7109375" style="888" customWidth="1"/>
    <col min="10247" max="10496" width="9.140625" style="888"/>
    <col min="10497" max="10497" width="7.7109375" style="888" customWidth="1"/>
    <col min="10498" max="10498" width="50.7109375" style="888" customWidth="1"/>
    <col min="10499" max="10499" width="9" style="888" customWidth="1"/>
    <col min="10500" max="10500" width="8.7109375" style="888" customWidth="1"/>
    <col min="10501" max="10501" width="7.85546875" style="888" customWidth="1"/>
    <col min="10502" max="10502" width="10.7109375" style="888" customWidth="1"/>
    <col min="10503" max="10752" width="9.140625" style="888"/>
    <col min="10753" max="10753" width="7.7109375" style="888" customWidth="1"/>
    <col min="10754" max="10754" width="50.7109375" style="888" customWidth="1"/>
    <col min="10755" max="10755" width="9" style="888" customWidth="1"/>
    <col min="10756" max="10756" width="8.7109375" style="888" customWidth="1"/>
    <col min="10757" max="10757" width="7.85546875" style="888" customWidth="1"/>
    <col min="10758" max="10758" width="10.7109375" style="888" customWidth="1"/>
    <col min="10759" max="11008" width="9.140625" style="888"/>
    <col min="11009" max="11009" width="7.7109375" style="888" customWidth="1"/>
    <col min="11010" max="11010" width="50.7109375" style="888" customWidth="1"/>
    <col min="11011" max="11011" width="9" style="888" customWidth="1"/>
    <col min="11012" max="11012" width="8.7109375" style="888" customWidth="1"/>
    <col min="11013" max="11013" width="7.85546875" style="888" customWidth="1"/>
    <col min="11014" max="11014" width="10.7109375" style="888" customWidth="1"/>
    <col min="11015" max="11264" width="9.140625" style="888"/>
    <col min="11265" max="11265" width="7.7109375" style="888" customWidth="1"/>
    <col min="11266" max="11266" width="50.7109375" style="888" customWidth="1"/>
    <col min="11267" max="11267" width="9" style="888" customWidth="1"/>
    <col min="11268" max="11268" width="8.7109375" style="888" customWidth="1"/>
    <col min="11269" max="11269" width="7.85546875" style="888" customWidth="1"/>
    <col min="11270" max="11270" width="10.7109375" style="888" customWidth="1"/>
    <col min="11271" max="11520" width="9.140625" style="888"/>
    <col min="11521" max="11521" width="7.7109375" style="888" customWidth="1"/>
    <col min="11522" max="11522" width="50.7109375" style="888" customWidth="1"/>
    <col min="11523" max="11523" width="9" style="888" customWidth="1"/>
    <col min="11524" max="11524" width="8.7109375" style="888" customWidth="1"/>
    <col min="11525" max="11525" width="7.85546875" style="888" customWidth="1"/>
    <col min="11526" max="11526" width="10.7109375" style="888" customWidth="1"/>
    <col min="11527" max="11776" width="9.140625" style="888"/>
    <col min="11777" max="11777" width="7.7109375" style="888" customWidth="1"/>
    <col min="11778" max="11778" width="50.7109375" style="888" customWidth="1"/>
    <col min="11779" max="11779" width="9" style="888" customWidth="1"/>
    <col min="11780" max="11780" width="8.7109375" style="888" customWidth="1"/>
    <col min="11781" max="11781" width="7.85546875" style="888" customWidth="1"/>
    <col min="11782" max="11782" width="10.7109375" style="888" customWidth="1"/>
    <col min="11783" max="12032" width="9.140625" style="888"/>
    <col min="12033" max="12033" width="7.7109375" style="888" customWidth="1"/>
    <col min="12034" max="12034" width="50.7109375" style="888" customWidth="1"/>
    <col min="12035" max="12035" width="9" style="888" customWidth="1"/>
    <col min="12036" max="12036" width="8.7109375" style="888" customWidth="1"/>
    <col min="12037" max="12037" width="7.85546875" style="888" customWidth="1"/>
    <col min="12038" max="12038" width="10.7109375" style="888" customWidth="1"/>
    <col min="12039" max="12288" width="9.140625" style="888"/>
    <col min="12289" max="12289" width="7.7109375" style="888" customWidth="1"/>
    <col min="12290" max="12290" width="50.7109375" style="888" customWidth="1"/>
    <col min="12291" max="12291" width="9" style="888" customWidth="1"/>
    <col min="12292" max="12292" width="8.7109375" style="888" customWidth="1"/>
    <col min="12293" max="12293" width="7.85546875" style="888" customWidth="1"/>
    <col min="12294" max="12294" width="10.7109375" style="888" customWidth="1"/>
    <col min="12295" max="12544" width="9.140625" style="888"/>
    <col min="12545" max="12545" width="7.7109375" style="888" customWidth="1"/>
    <col min="12546" max="12546" width="50.7109375" style="888" customWidth="1"/>
    <col min="12547" max="12547" width="9" style="888" customWidth="1"/>
    <col min="12548" max="12548" width="8.7109375" style="888" customWidth="1"/>
    <col min="12549" max="12549" width="7.85546875" style="888" customWidth="1"/>
    <col min="12550" max="12550" width="10.7109375" style="888" customWidth="1"/>
    <col min="12551" max="12800" width="9.140625" style="888"/>
    <col min="12801" max="12801" width="7.7109375" style="888" customWidth="1"/>
    <col min="12802" max="12802" width="50.7109375" style="888" customWidth="1"/>
    <col min="12803" max="12803" width="9" style="888" customWidth="1"/>
    <col min="12804" max="12804" width="8.7109375" style="888" customWidth="1"/>
    <col min="12805" max="12805" width="7.85546875" style="888" customWidth="1"/>
    <col min="12806" max="12806" width="10.7109375" style="888" customWidth="1"/>
    <col min="12807" max="13056" width="9.140625" style="888"/>
    <col min="13057" max="13057" width="7.7109375" style="888" customWidth="1"/>
    <col min="13058" max="13058" width="50.7109375" style="888" customWidth="1"/>
    <col min="13059" max="13059" width="9" style="888" customWidth="1"/>
    <col min="13060" max="13060" width="8.7109375" style="888" customWidth="1"/>
    <col min="13061" max="13061" width="7.85546875" style="888" customWidth="1"/>
    <col min="13062" max="13062" width="10.7109375" style="888" customWidth="1"/>
    <col min="13063" max="13312" width="9.140625" style="888"/>
    <col min="13313" max="13313" width="7.7109375" style="888" customWidth="1"/>
    <col min="13314" max="13314" width="50.7109375" style="888" customWidth="1"/>
    <col min="13315" max="13315" width="9" style="888" customWidth="1"/>
    <col min="13316" max="13316" width="8.7109375" style="888" customWidth="1"/>
    <col min="13317" max="13317" width="7.85546875" style="888" customWidth="1"/>
    <col min="13318" max="13318" width="10.7109375" style="888" customWidth="1"/>
    <col min="13319" max="13568" width="9.140625" style="888"/>
    <col min="13569" max="13569" width="7.7109375" style="888" customWidth="1"/>
    <col min="13570" max="13570" width="50.7109375" style="888" customWidth="1"/>
    <col min="13571" max="13571" width="9" style="888" customWidth="1"/>
    <col min="13572" max="13572" width="8.7109375" style="888" customWidth="1"/>
    <col min="13573" max="13573" width="7.85546875" style="888" customWidth="1"/>
    <col min="13574" max="13574" width="10.7109375" style="888" customWidth="1"/>
    <col min="13575" max="13824" width="9.140625" style="888"/>
    <col min="13825" max="13825" width="7.7109375" style="888" customWidth="1"/>
    <col min="13826" max="13826" width="50.7109375" style="888" customWidth="1"/>
    <col min="13827" max="13827" width="9" style="888" customWidth="1"/>
    <col min="13828" max="13828" width="8.7109375" style="888" customWidth="1"/>
    <col min="13829" max="13829" width="7.85546875" style="888" customWidth="1"/>
    <col min="13830" max="13830" width="10.7109375" style="888" customWidth="1"/>
    <col min="13831" max="14080" width="9.140625" style="888"/>
    <col min="14081" max="14081" width="7.7109375" style="888" customWidth="1"/>
    <col min="14082" max="14082" width="50.7109375" style="888" customWidth="1"/>
    <col min="14083" max="14083" width="9" style="888" customWidth="1"/>
    <col min="14084" max="14084" width="8.7109375" style="888" customWidth="1"/>
    <col min="14085" max="14085" width="7.85546875" style="888" customWidth="1"/>
    <col min="14086" max="14086" width="10.7109375" style="888" customWidth="1"/>
    <col min="14087" max="14336" width="9.140625" style="888"/>
    <col min="14337" max="14337" width="7.7109375" style="888" customWidth="1"/>
    <col min="14338" max="14338" width="50.7109375" style="888" customWidth="1"/>
    <col min="14339" max="14339" width="9" style="888" customWidth="1"/>
    <col min="14340" max="14340" width="8.7109375" style="888" customWidth="1"/>
    <col min="14341" max="14341" width="7.85546875" style="888" customWidth="1"/>
    <col min="14342" max="14342" width="10.7109375" style="888" customWidth="1"/>
    <col min="14343" max="14592" width="9.140625" style="888"/>
    <col min="14593" max="14593" width="7.7109375" style="888" customWidth="1"/>
    <col min="14594" max="14594" width="50.7109375" style="888" customWidth="1"/>
    <col min="14595" max="14595" width="9" style="888" customWidth="1"/>
    <col min="14596" max="14596" width="8.7109375" style="888" customWidth="1"/>
    <col min="14597" max="14597" width="7.85546875" style="888" customWidth="1"/>
    <col min="14598" max="14598" width="10.7109375" style="888" customWidth="1"/>
    <col min="14599" max="14848" width="9.140625" style="888"/>
    <col min="14849" max="14849" width="7.7109375" style="888" customWidth="1"/>
    <col min="14850" max="14850" width="50.7109375" style="888" customWidth="1"/>
    <col min="14851" max="14851" width="9" style="888" customWidth="1"/>
    <col min="14852" max="14852" width="8.7109375" style="888" customWidth="1"/>
    <col min="14853" max="14853" width="7.85546875" style="888" customWidth="1"/>
    <col min="14854" max="14854" width="10.7109375" style="888" customWidth="1"/>
    <col min="14855" max="15104" width="9.140625" style="888"/>
    <col min="15105" max="15105" width="7.7109375" style="888" customWidth="1"/>
    <col min="15106" max="15106" width="50.7109375" style="888" customWidth="1"/>
    <col min="15107" max="15107" width="9" style="888" customWidth="1"/>
    <col min="15108" max="15108" width="8.7109375" style="888" customWidth="1"/>
    <col min="15109" max="15109" width="7.85546875" style="888" customWidth="1"/>
    <col min="15110" max="15110" width="10.7109375" style="888" customWidth="1"/>
    <col min="15111" max="15360" width="9.140625" style="888"/>
    <col min="15361" max="15361" width="7.7109375" style="888" customWidth="1"/>
    <col min="15362" max="15362" width="50.7109375" style="888" customWidth="1"/>
    <col min="15363" max="15363" width="9" style="888" customWidth="1"/>
    <col min="15364" max="15364" width="8.7109375" style="888" customWidth="1"/>
    <col min="15365" max="15365" width="7.85546875" style="888" customWidth="1"/>
    <col min="15366" max="15366" width="10.7109375" style="888" customWidth="1"/>
    <col min="15367" max="15616" width="9.140625" style="888"/>
    <col min="15617" max="15617" width="7.7109375" style="888" customWidth="1"/>
    <col min="15618" max="15618" width="50.7109375" style="888" customWidth="1"/>
    <col min="15619" max="15619" width="9" style="888" customWidth="1"/>
    <col min="15620" max="15620" width="8.7109375" style="888" customWidth="1"/>
    <col min="15621" max="15621" width="7.85546875" style="888" customWidth="1"/>
    <col min="15622" max="15622" width="10.7109375" style="888" customWidth="1"/>
    <col min="15623" max="15872" width="9.140625" style="888"/>
    <col min="15873" max="15873" width="7.7109375" style="888" customWidth="1"/>
    <col min="15874" max="15874" width="50.7109375" style="888" customWidth="1"/>
    <col min="15875" max="15875" width="9" style="888" customWidth="1"/>
    <col min="15876" max="15876" width="8.7109375" style="888" customWidth="1"/>
    <col min="15877" max="15877" width="7.85546875" style="888" customWidth="1"/>
    <col min="15878" max="15878" width="10.7109375" style="888" customWidth="1"/>
    <col min="15879" max="16128" width="9.140625" style="888"/>
    <col min="16129" max="16129" width="7.7109375" style="888" customWidth="1"/>
    <col min="16130" max="16130" width="50.7109375" style="888" customWidth="1"/>
    <col min="16131" max="16131" width="9" style="888" customWidth="1"/>
    <col min="16132" max="16132" width="8.7109375" style="888" customWidth="1"/>
    <col min="16133" max="16133" width="7.85546875" style="888" customWidth="1"/>
    <col min="16134" max="16134" width="10.7109375" style="888" customWidth="1"/>
    <col min="16135" max="16384" width="9.140625" style="888"/>
  </cols>
  <sheetData>
    <row r="1" spans="1:10" ht="60" customHeight="1" thickTop="1" thickBot="1">
      <c r="A1" s="1061"/>
      <c r="B1" s="1696"/>
      <c r="C1" s="1697"/>
      <c r="D1" s="1697"/>
      <c r="E1" s="1697"/>
      <c r="F1" s="1697"/>
    </row>
    <row r="2" spans="1:10" ht="28.5" customHeight="1" thickTop="1">
      <c r="A2" s="1698" t="s">
        <v>4197</v>
      </c>
      <c r="B2" s="1698"/>
      <c r="C2" s="1698"/>
      <c r="D2" s="1698"/>
      <c r="E2" s="1698"/>
      <c r="F2" s="1698"/>
    </row>
    <row r="3" spans="1:10" ht="24.95" customHeight="1">
      <c r="A3" s="1062" t="s">
        <v>992</v>
      </c>
      <c r="B3" s="1063" t="s">
        <v>3936</v>
      </c>
      <c r="C3" s="1062" t="s">
        <v>3937</v>
      </c>
      <c r="D3" s="1062" t="s">
        <v>99</v>
      </c>
      <c r="E3" s="759" t="s">
        <v>3938</v>
      </c>
      <c r="F3" s="1062" t="s">
        <v>3939</v>
      </c>
    </row>
    <row r="4" spans="1:10">
      <c r="A4" s="1064"/>
      <c r="B4" s="1065"/>
      <c r="C4" s="1066"/>
      <c r="D4" s="1066"/>
      <c r="E4" s="1066"/>
      <c r="F4" s="1067"/>
      <c r="G4" s="121"/>
      <c r="H4" s="121"/>
      <c r="I4" s="121"/>
      <c r="J4" s="121"/>
    </row>
    <row r="5" spans="1:10">
      <c r="A5" s="998" t="s">
        <v>977</v>
      </c>
      <c r="B5" s="1068" t="s">
        <v>4198</v>
      </c>
      <c r="C5" s="1066"/>
      <c r="D5" s="1066"/>
      <c r="E5" s="1066"/>
      <c r="F5" s="1067"/>
      <c r="G5" s="121"/>
      <c r="H5" s="121"/>
      <c r="I5" s="121"/>
      <c r="J5" s="121"/>
    </row>
    <row r="6" spans="1:10">
      <c r="A6" s="1069"/>
      <c r="B6" s="1068"/>
      <c r="C6" s="1066"/>
      <c r="D6" s="1066"/>
      <c r="E6" s="1066"/>
      <c r="F6" s="1067"/>
      <c r="G6" s="121"/>
      <c r="H6" s="121"/>
      <c r="I6" s="121"/>
      <c r="J6" s="121"/>
    </row>
    <row r="7" spans="1:10" ht="56.25">
      <c r="A7" s="1069"/>
      <c r="B7" s="807" t="s">
        <v>4199</v>
      </c>
      <c r="C7" s="1066"/>
      <c r="D7" s="1066"/>
      <c r="E7" s="1105"/>
      <c r="F7" s="1067"/>
      <c r="G7" s="121"/>
      <c r="H7" s="121"/>
      <c r="I7" s="121"/>
      <c r="J7" s="121"/>
    </row>
    <row r="8" spans="1:10">
      <c r="A8" s="1069"/>
      <c r="B8" s="1070"/>
      <c r="C8" s="1066"/>
      <c r="D8" s="1066"/>
      <c r="E8" s="1105"/>
      <c r="F8" s="1067"/>
      <c r="G8" s="121"/>
      <c r="H8" s="121"/>
      <c r="I8" s="121"/>
      <c r="J8" s="121"/>
    </row>
    <row r="9" spans="1:10">
      <c r="A9" s="1071" t="s">
        <v>4200</v>
      </c>
      <c r="B9" s="1070" t="s">
        <v>4201</v>
      </c>
      <c r="C9" s="1066"/>
      <c r="D9" s="1066"/>
      <c r="E9" s="1105"/>
      <c r="F9" s="1067"/>
      <c r="G9" s="121"/>
      <c r="H9" s="121"/>
      <c r="I9" s="121"/>
      <c r="J9" s="121"/>
    </row>
    <row r="10" spans="1:10" ht="105" customHeight="1">
      <c r="A10" s="1064"/>
      <c r="B10" s="786" t="s">
        <v>4202</v>
      </c>
      <c r="C10" s="1066"/>
      <c r="D10" s="1066"/>
      <c r="E10" s="1106"/>
      <c r="F10" s="1073"/>
      <c r="G10" s="121"/>
      <c r="H10" s="121"/>
      <c r="I10" s="121"/>
      <c r="J10" s="121"/>
    </row>
    <row r="11" spans="1:10" ht="12.75" customHeight="1">
      <c r="A11" s="1064"/>
      <c r="B11" s="1074" t="s">
        <v>4203</v>
      </c>
      <c r="C11" s="1075" t="s">
        <v>3770</v>
      </c>
      <c r="D11" s="1076">
        <v>2</v>
      </c>
      <c r="E11" s="163"/>
      <c r="F11" s="1077">
        <f>D11*E11</f>
        <v>0</v>
      </c>
      <c r="G11" s="121"/>
      <c r="H11" s="121"/>
      <c r="I11" s="121"/>
      <c r="J11" s="121"/>
    </row>
    <row r="12" spans="1:10">
      <c r="A12" s="1064"/>
      <c r="B12" s="1074" t="s">
        <v>4204</v>
      </c>
      <c r="C12" s="1075" t="s">
        <v>3770</v>
      </c>
      <c r="D12" s="1076">
        <v>2</v>
      </c>
      <c r="E12" s="163"/>
      <c r="F12" s="1077">
        <f>D12*E12</f>
        <v>0</v>
      </c>
      <c r="G12" s="121"/>
      <c r="H12" s="121"/>
      <c r="I12" s="121"/>
      <c r="J12" s="121"/>
    </row>
    <row r="13" spans="1:10">
      <c r="A13" s="1069"/>
      <c r="B13" s="1070"/>
      <c r="C13" s="1066"/>
      <c r="D13" s="1078"/>
      <c r="E13" s="1105"/>
      <c r="F13" s="1067"/>
      <c r="G13" s="121"/>
      <c r="H13" s="121"/>
      <c r="I13" s="121"/>
      <c r="J13" s="121"/>
    </row>
    <row r="14" spans="1:10">
      <c r="A14" s="1071" t="s">
        <v>4205</v>
      </c>
      <c r="B14" s="1070" t="s">
        <v>4206</v>
      </c>
      <c r="C14" s="1066"/>
      <c r="D14" s="1078"/>
      <c r="E14" s="1105"/>
      <c r="F14" s="1067"/>
      <c r="G14" s="121"/>
      <c r="H14" s="121"/>
      <c r="I14" s="121"/>
      <c r="J14" s="121"/>
    </row>
    <row r="15" spans="1:10" ht="105" customHeight="1">
      <c r="A15" s="1064"/>
      <c r="B15" s="786" t="s">
        <v>4207</v>
      </c>
      <c r="C15" s="1066"/>
      <c r="D15" s="1078"/>
      <c r="E15" s="1106"/>
      <c r="F15" s="1073"/>
      <c r="G15" s="121"/>
      <c r="H15" s="121"/>
      <c r="I15" s="121"/>
      <c r="J15" s="121"/>
    </row>
    <row r="16" spans="1:10" ht="12.75" customHeight="1">
      <c r="A16" s="1064"/>
      <c r="B16" s="1074" t="s">
        <v>4203</v>
      </c>
      <c r="C16" s="1075" t="s">
        <v>3770</v>
      </c>
      <c r="D16" s="1076">
        <v>9</v>
      </c>
      <c r="E16" s="163"/>
      <c r="F16" s="1077">
        <f>D16*E16</f>
        <v>0</v>
      </c>
      <c r="G16" s="121"/>
      <c r="H16" s="121"/>
      <c r="I16" s="121"/>
      <c r="J16" s="121"/>
    </row>
    <row r="17" spans="1:10">
      <c r="A17" s="1064"/>
      <c r="B17" s="1074" t="s">
        <v>4204</v>
      </c>
      <c r="C17" s="1075" t="s">
        <v>3770</v>
      </c>
      <c r="D17" s="1076">
        <v>9</v>
      </c>
      <c r="E17" s="163"/>
      <c r="F17" s="1077">
        <f>D17*E17</f>
        <v>0</v>
      </c>
      <c r="G17" s="121"/>
      <c r="H17" s="121"/>
      <c r="I17" s="121"/>
      <c r="J17" s="121"/>
    </row>
    <row r="18" spans="1:10">
      <c r="A18" s="1069"/>
      <c r="B18" s="1070"/>
      <c r="C18" s="1066"/>
      <c r="D18" s="1078"/>
      <c r="E18" s="1105"/>
      <c r="F18" s="1067"/>
      <c r="G18" s="121"/>
      <c r="H18" s="121"/>
      <c r="I18" s="121"/>
      <c r="J18" s="121"/>
    </row>
    <row r="19" spans="1:10">
      <c r="A19" s="1071" t="s">
        <v>4208</v>
      </c>
      <c r="B19" s="1070" t="s">
        <v>4209</v>
      </c>
      <c r="C19" s="1066"/>
      <c r="D19" s="1078"/>
      <c r="E19" s="1105"/>
      <c r="F19" s="1067"/>
      <c r="G19" s="121"/>
      <c r="H19" s="121"/>
      <c r="I19" s="121"/>
      <c r="J19" s="121"/>
    </row>
    <row r="20" spans="1:10" ht="112.5">
      <c r="A20" s="1064"/>
      <c r="B20" s="786" t="s">
        <v>4210</v>
      </c>
      <c r="C20" s="1066"/>
      <c r="D20" s="1078"/>
      <c r="E20" s="1106"/>
      <c r="F20" s="1073"/>
      <c r="G20" s="121"/>
      <c r="H20" s="121"/>
      <c r="I20" s="121"/>
      <c r="J20" s="121"/>
    </row>
    <row r="21" spans="1:10" ht="12.75" customHeight="1">
      <c r="A21" s="1064"/>
      <c r="B21" s="1074" t="s">
        <v>4203</v>
      </c>
      <c r="C21" s="1075" t="s">
        <v>3770</v>
      </c>
      <c r="D21" s="1076">
        <v>1</v>
      </c>
      <c r="E21" s="163"/>
      <c r="F21" s="1077">
        <f>D21*E21</f>
        <v>0</v>
      </c>
      <c r="G21" s="121"/>
      <c r="H21" s="121"/>
      <c r="I21" s="121"/>
      <c r="J21" s="121"/>
    </row>
    <row r="22" spans="1:10">
      <c r="A22" s="1064"/>
      <c r="B22" s="1074" t="s">
        <v>4204</v>
      </c>
      <c r="C22" s="1075" t="s">
        <v>3770</v>
      </c>
      <c r="D22" s="1076">
        <v>1</v>
      </c>
      <c r="E22" s="163"/>
      <c r="F22" s="1077">
        <f>D22*E22</f>
        <v>0</v>
      </c>
      <c r="G22" s="121"/>
      <c r="H22" s="121"/>
      <c r="I22" s="121"/>
      <c r="J22" s="121"/>
    </row>
    <row r="23" spans="1:10">
      <c r="A23" s="1079"/>
      <c r="B23" s="1080"/>
      <c r="C23" s="1072"/>
      <c r="D23" s="1081"/>
      <c r="E23" s="1106"/>
      <c r="F23" s="1082"/>
      <c r="G23" s="121"/>
      <c r="H23" s="121"/>
      <c r="I23" s="121"/>
      <c r="J23" s="121"/>
    </row>
    <row r="24" spans="1:10">
      <c r="A24" s="1071" t="s">
        <v>4211</v>
      </c>
      <c r="B24" s="1070" t="s">
        <v>4212</v>
      </c>
      <c r="C24" s="1072"/>
      <c r="D24" s="1081"/>
      <c r="E24" s="1106"/>
      <c r="F24" s="1082"/>
      <c r="G24" s="121"/>
      <c r="H24" s="121"/>
      <c r="I24" s="121"/>
      <c r="J24" s="121"/>
    </row>
    <row r="25" spans="1:10">
      <c r="A25" s="1079"/>
      <c r="B25" s="786" t="s">
        <v>4213</v>
      </c>
      <c r="C25" s="1066"/>
      <c r="D25" s="1081"/>
      <c r="E25" s="1105"/>
      <c r="F25" s="1067"/>
      <c r="G25" s="121"/>
      <c r="H25" s="121"/>
      <c r="I25" s="121"/>
      <c r="J25" s="121"/>
    </row>
    <row r="26" spans="1:10" ht="22.5">
      <c r="A26" s="1079"/>
      <c r="B26" s="1083" t="s">
        <v>4214</v>
      </c>
      <c r="C26" s="1066"/>
      <c r="D26" s="1081"/>
      <c r="E26" s="1105"/>
      <c r="F26" s="1067"/>
      <c r="G26" s="121"/>
      <c r="H26" s="121"/>
      <c r="I26" s="121"/>
      <c r="J26" s="121"/>
    </row>
    <row r="27" spans="1:10" ht="33.75">
      <c r="A27" s="1079"/>
      <c r="B27" s="1083" t="s">
        <v>4215</v>
      </c>
      <c r="C27" s="1066"/>
      <c r="D27" s="1081"/>
      <c r="E27" s="1105"/>
      <c r="F27" s="1067"/>
      <c r="G27" s="121"/>
      <c r="H27" s="121"/>
      <c r="I27" s="121"/>
      <c r="J27" s="121"/>
    </row>
    <row r="28" spans="1:10" ht="101.25">
      <c r="A28" s="1079"/>
      <c r="B28" s="1083" t="s">
        <v>4216</v>
      </c>
      <c r="C28" s="1066"/>
      <c r="D28" s="1081"/>
      <c r="E28" s="1105"/>
      <c r="F28" s="1067"/>
      <c r="G28" s="121"/>
      <c r="H28" s="121"/>
      <c r="I28" s="121"/>
      <c r="J28" s="121"/>
    </row>
    <row r="29" spans="1:10" ht="33.75">
      <c r="A29" s="1079"/>
      <c r="B29" s="1083" t="s">
        <v>4217</v>
      </c>
      <c r="C29" s="1066"/>
      <c r="D29" s="1081"/>
      <c r="E29" s="1105"/>
      <c r="F29" s="1067"/>
      <c r="G29" s="121"/>
      <c r="H29" s="121"/>
      <c r="I29" s="121"/>
      <c r="J29" s="121"/>
    </row>
    <row r="30" spans="1:10" ht="33.75">
      <c r="A30" s="1079"/>
      <c r="B30" s="786" t="s">
        <v>4218</v>
      </c>
      <c r="C30" s="1084"/>
      <c r="D30" s="1081"/>
      <c r="E30" s="164"/>
      <c r="F30" s="1085"/>
      <c r="G30" s="121"/>
      <c r="H30" s="121"/>
      <c r="I30" s="121"/>
      <c r="J30" s="121"/>
    </row>
    <row r="31" spans="1:10">
      <c r="A31" s="1064"/>
      <c r="B31" s="1074" t="s">
        <v>4203</v>
      </c>
      <c r="C31" s="1075" t="s">
        <v>3770</v>
      </c>
      <c r="D31" s="1076">
        <v>9</v>
      </c>
      <c r="E31" s="163"/>
      <c r="F31" s="1077">
        <f>D31*E31</f>
        <v>0</v>
      </c>
      <c r="G31" s="121"/>
      <c r="H31" s="121"/>
      <c r="I31" s="121"/>
      <c r="J31" s="121"/>
    </row>
    <row r="32" spans="1:10">
      <c r="A32" s="1064"/>
      <c r="B32" s="1074" t="s">
        <v>4204</v>
      </c>
      <c r="C32" s="1075" t="s">
        <v>3770</v>
      </c>
      <c r="D32" s="1076">
        <v>9</v>
      </c>
      <c r="E32" s="163"/>
      <c r="F32" s="1077">
        <f>D32*E32</f>
        <v>0</v>
      </c>
      <c r="G32" s="121"/>
      <c r="H32" s="121"/>
      <c r="I32" s="121"/>
      <c r="J32" s="121"/>
    </row>
    <row r="33" spans="1:10">
      <c r="A33" s="1079"/>
      <c r="B33" s="1080"/>
      <c r="C33" s="1072"/>
      <c r="D33" s="1081"/>
      <c r="E33" s="1106"/>
      <c r="F33" s="1082"/>
      <c r="G33" s="121"/>
      <c r="H33" s="121"/>
      <c r="I33" s="121"/>
      <c r="J33" s="121"/>
    </row>
    <row r="34" spans="1:10">
      <c r="A34" s="1071" t="s">
        <v>4219</v>
      </c>
      <c r="B34" s="1070" t="s">
        <v>4220</v>
      </c>
      <c r="C34" s="1072"/>
      <c r="D34" s="1081"/>
      <c r="E34" s="1106"/>
      <c r="F34" s="1082"/>
      <c r="G34" s="121"/>
      <c r="H34" s="121"/>
      <c r="I34" s="121"/>
      <c r="J34" s="121"/>
    </row>
    <row r="35" spans="1:10">
      <c r="A35" s="1079"/>
      <c r="B35" s="786" t="s">
        <v>4213</v>
      </c>
      <c r="C35" s="1066"/>
      <c r="D35" s="1081"/>
      <c r="E35" s="1105"/>
      <c r="F35" s="1067"/>
      <c r="G35" s="121"/>
      <c r="H35" s="121"/>
      <c r="I35" s="121"/>
      <c r="J35" s="121"/>
    </row>
    <row r="36" spans="1:10" ht="22.5">
      <c r="A36" s="1079"/>
      <c r="B36" s="1083" t="s">
        <v>4214</v>
      </c>
      <c r="C36" s="1066"/>
      <c r="D36" s="1081"/>
      <c r="E36" s="1105"/>
      <c r="F36" s="1067"/>
      <c r="G36" s="121"/>
      <c r="H36" s="121"/>
      <c r="I36" s="121"/>
      <c r="J36" s="121"/>
    </row>
    <row r="37" spans="1:10" ht="33.75">
      <c r="A37" s="1079"/>
      <c r="B37" s="1083" t="s">
        <v>4215</v>
      </c>
      <c r="C37" s="1066"/>
      <c r="D37" s="1081"/>
      <c r="E37" s="1105"/>
      <c r="F37" s="1067"/>
      <c r="G37" s="121"/>
      <c r="H37" s="121"/>
      <c r="I37" s="121"/>
      <c r="J37" s="121"/>
    </row>
    <row r="38" spans="1:10" ht="168.75">
      <c r="A38" s="1079"/>
      <c r="B38" s="1083" t="s">
        <v>4221</v>
      </c>
      <c r="C38" s="1066"/>
      <c r="D38" s="1081"/>
      <c r="E38" s="1105"/>
      <c r="F38" s="1067"/>
      <c r="G38" s="121"/>
      <c r="H38" s="121"/>
      <c r="I38" s="121"/>
      <c r="J38" s="121"/>
    </row>
    <row r="39" spans="1:10" ht="33.75">
      <c r="A39" s="1079"/>
      <c r="B39" s="1083" t="s">
        <v>4217</v>
      </c>
      <c r="C39" s="1066"/>
      <c r="D39" s="1081"/>
      <c r="E39" s="1105"/>
      <c r="F39" s="1067"/>
      <c r="G39" s="121"/>
      <c r="H39" s="121"/>
      <c r="I39" s="121"/>
      <c r="J39" s="121"/>
    </row>
    <row r="40" spans="1:10" ht="33.75">
      <c r="A40" s="1079"/>
      <c r="B40" s="786" t="s">
        <v>4218</v>
      </c>
      <c r="C40" s="1084"/>
      <c r="D40" s="1081"/>
      <c r="E40" s="164"/>
      <c r="F40" s="1085"/>
      <c r="G40" s="121"/>
      <c r="H40" s="121"/>
      <c r="I40" s="121"/>
      <c r="J40" s="121"/>
    </row>
    <row r="41" spans="1:10">
      <c r="A41" s="1064"/>
      <c r="B41" s="1074" t="s">
        <v>4203</v>
      </c>
      <c r="C41" s="1075" t="s">
        <v>3770</v>
      </c>
      <c r="D41" s="1076">
        <v>2</v>
      </c>
      <c r="E41" s="163"/>
      <c r="F41" s="1077">
        <f>D41*E41</f>
        <v>0</v>
      </c>
      <c r="G41" s="121"/>
      <c r="H41" s="121"/>
      <c r="I41" s="121"/>
      <c r="J41" s="121"/>
    </row>
    <row r="42" spans="1:10">
      <c r="A42" s="1064"/>
      <c r="B42" s="1074" t="s">
        <v>4204</v>
      </c>
      <c r="C42" s="1075" t="s">
        <v>3770</v>
      </c>
      <c r="D42" s="1076">
        <v>2</v>
      </c>
      <c r="E42" s="163"/>
      <c r="F42" s="1077">
        <f>D42*E42</f>
        <v>0</v>
      </c>
      <c r="G42" s="121"/>
      <c r="H42" s="121"/>
      <c r="I42" s="121"/>
      <c r="J42" s="121"/>
    </row>
    <row r="43" spans="1:10" ht="10.5" customHeight="1">
      <c r="A43" s="1064"/>
      <c r="B43" s="1080"/>
      <c r="C43" s="1075"/>
      <c r="D43" s="1076"/>
      <c r="E43" s="164"/>
      <c r="F43" s="1086"/>
      <c r="G43" s="121"/>
      <c r="H43" s="121"/>
      <c r="I43" s="121"/>
      <c r="J43" s="121"/>
    </row>
    <row r="44" spans="1:10">
      <c r="A44" s="1071" t="s">
        <v>4222</v>
      </c>
      <c r="B44" s="1070" t="s">
        <v>4223</v>
      </c>
      <c r="C44" s="1066"/>
      <c r="D44" s="1076"/>
      <c r="E44" s="1106"/>
      <c r="F44" s="1073"/>
      <c r="G44" s="121"/>
      <c r="H44" s="121"/>
      <c r="I44" s="121"/>
      <c r="J44" s="121"/>
    </row>
    <row r="45" spans="1:10" ht="101.25">
      <c r="A45" s="1064"/>
      <c r="B45" s="1087" t="s">
        <v>4224</v>
      </c>
      <c r="C45" s="1066"/>
      <c r="D45" s="1076"/>
      <c r="E45" s="1106"/>
      <c r="F45" s="1073"/>
      <c r="G45" s="121"/>
      <c r="H45" s="121"/>
      <c r="I45" s="121"/>
      <c r="J45" s="121"/>
    </row>
    <row r="46" spans="1:10">
      <c r="A46" s="1064"/>
      <c r="B46" s="1074" t="s">
        <v>4203</v>
      </c>
      <c r="C46" s="1075" t="s">
        <v>3770</v>
      </c>
      <c r="D46" s="1076">
        <v>1</v>
      </c>
      <c r="E46" s="163"/>
      <c r="F46" s="1077">
        <f>D46*E46</f>
        <v>0</v>
      </c>
      <c r="G46" s="121"/>
      <c r="H46" s="121"/>
      <c r="I46" s="121"/>
      <c r="J46" s="121"/>
    </row>
    <row r="47" spans="1:10">
      <c r="A47" s="1064"/>
      <c r="B47" s="1074" t="s">
        <v>4204</v>
      </c>
      <c r="C47" s="1075" t="s">
        <v>3770</v>
      </c>
      <c r="D47" s="1076">
        <v>1</v>
      </c>
      <c r="E47" s="163"/>
      <c r="F47" s="1077">
        <f>D47*E47</f>
        <v>0</v>
      </c>
      <c r="G47" s="121"/>
      <c r="H47" s="121"/>
      <c r="I47" s="121"/>
      <c r="J47" s="121"/>
    </row>
    <row r="48" spans="1:10">
      <c r="A48" s="1064"/>
      <c r="B48" s="1088"/>
      <c r="C48" s="1075"/>
      <c r="D48" s="1076"/>
      <c r="E48" s="1107"/>
      <c r="F48" s="1086"/>
      <c r="G48" s="121"/>
      <c r="H48" s="121"/>
      <c r="I48" s="121"/>
      <c r="J48" s="121"/>
    </row>
    <row r="49" spans="1:10" ht="12.75" customHeight="1">
      <c r="A49" s="1071" t="s">
        <v>4225</v>
      </c>
      <c r="B49" s="1089" t="s">
        <v>4226</v>
      </c>
      <c r="C49" s="1075"/>
      <c r="D49" s="1076"/>
      <c r="E49" s="1107"/>
      <c r="F49" s="1086"/>
      <c r="G49" s="121"/>
      <c r="H49" s="121"/>
      <c r="I49" s="121"/>
      <c r="J49" s="121"/>
    </row>
    <row r="50" spans="1:10" ht="67.5">
      <c r="A50" s="1064"/>
      <c r="B50" s="1090" t="s">
        <v>4227</v>
      </c>
      <c r="C50" s="1075"/>
      <c r="D50" s="1076"/>
      <c r="E50" s="1107"/>
      <c r="F50" s="1086"/>
      <c r="G50" s="121"/>
      <c r="H50" s="121"/>
      <c r="I50" s="121"/>
      <c r="J50" s="121"/>
    </row>
    <row r="51" spans="1:10">
      <c r="A51" s="1064"/>
      <c r="B51" s="1074" t="s">
        <v>4203</v>
      </c>
      <c r="C51" s="1075" t="s">
        <v>3770</v>
      </c>
      <c r="D51" s="1076">
        <v>5</v>
      </c>
      <c r="E51" s="163"/>
      <c r="F51" s="1077">
        <f>D51*E51</f>
        <v>0</v>
      </c>
      <c r="G51" s="121"/>
      <c r="H51" s="121"/>
      <c r="I51" s="121"/>
      <c r="J51" s="121"/>
    </row>
    <row r="52" spans="1:10">
      <c r="A52" s="1064"/>
      <c r="B52" s="1074" t="s">
        <v>4204</v>
      </c>
      <c r="C52" s="1075" t="s">
        <v>3770</v>
      </c>
      <c r="D52" s="1076">
        <v>5</v>
      </c>
      <c r="E52" s="163"/>
      <c r="F52" s="1077">
        <f>D52*E52</f>
        <v>0</v>
      </c>
      <c r="G52" s="121"/>
      <c r="H52" s="121"/>
      <c r="I52" s="121"/>
      <c r="J52" s="121"/>
    </row>
    <row r="53" spans="1:10">
      <c r="A53" s="1064"/>
      <c r="B53" s="1088"/>
      <c r="C53" s="1075"/>
      <c r="D53" s="1076"/>
      <c r="E53" s="1107"/>
      <c r="F53" s="1086"/>
      <c r="G53" s="121"/>
      <c r="H53" s="121"/>
      <c r="I53" s="121"/>
      <c r="J53" s="121"/>
    </row>
    <row r="54" spans="1:10" ht="12.75">
      <c r="A54" s="1071" t="s">
        <v>4228</v>
      </c>
      <c r="B54" s="1070" t="s">
        <v>4229</v>
      </c>
      <c r="C54" s="1075"/>
      <c r="D54" s="1076"/>
      <c r="E54" s="1108"/>
      <c r="F54" s="1086"/>
      <c r="G54" s="121"/>
      <c r="H54" s="121"/>
      <c r="I54" s="121"/>
      <c r="J54" s="121"/>
    </row>
    <row r="55" spans="1:10" ht="78.75">
      <c r="A55" s="1064"/>
      <c r="B55" s="1087" t="s">
        <v>4230</v>
      </c>
      <c r="C55" s="1075"/>
      <c r="D55" s="1076"/>
      <c r="E55" s="1108"/>
      <c r="F55" s="1086"/>
      <c r="G55" s="121"/>
      <c r="H55" s="121"/>
      <c r="I55" s="121"/>
      <c r="J55" s="121"/>
    </row>
    <row r="56" spans="1:10">
      <c r="A56" s="1064"/>
      <c r="B56" s="1074" t="s">
        <v>4203</v>
      </c>
      <c r="C56" s="1075" t="s">
        <v>3770</v>
      </c>
      <c r="D56" s="1076">
        <v>1</v>
      </c>
      <c r="E56" s="163"/>
      <c r="F56" s="1077">
        <f>D56*E56</f>
        <v>0</v>
      </c>
      <c r="G56" s="121"/>
      <c r="H56" s="121"/>
      <c r="I56" s="121"/>
      <c r="J56" s="121"/>
    </row>
    <row r="57" spans="1:10">
      <c r="A57" s="1064"/>
      <c r="B57" s="1074" t="s">
        <v>4204</v>
      </c>
      <c r="C57" s="1075" t="s">
        <v>3770</v>
      </c>
      <c r="D57" s="1076">
        <v>1</v>
      </c>
      <c r="E57" s="163"/>
      <c r="F57" s="1077">
        <f>D57*E57</f>
        <v>0</v>
      </c>
      <c r="G57" s="121"/>
      <c r="H57" s="121"/>
      <c r="I57" s="121"/>
      <c r="J57" s="121"/>
    </row>
    <row r="58" spans="1:10">
      <c r="A58" s="1064"/>
      <c r="B58" s="1080"/>
      <c r="C58" s="1084"/>
      <c r="D58" s="1076"/>
      <c r="E58" s="1108"/>
      <c r="F58" s="1085"/>
      <c r="G58" s="121"/>
      <c r="H58" s="121"/>
      <c r="I58" s="121"/>
      <c r="J58" s="121"/>
    </row>
    <row r="59" spans="1:10" ht="12.75">
      <c r="A59" s="1071" t="s">
        <v>4231</v>
      </c>
      <c r="B59" s="1091" t="s">
        <v>4232</v>
      </c>
      <c r="C59" s="1084"/>
      <c r="D59" s="1076"/>
      <c r="E59" s="1107"/>
      <c r="F59" s="1085"/>
      <c r="G59" s="121"/>
      <c r="H59" s="121"/>
      <c r="I59" s="121"/>
      <c r="J59" s="121"/>
    </row>
    <row r="60" spans="1:10" ht="22.5">
      <c r="A60" s="1064"/>
      <c r="B60" s="1088" t="s">
        <v>4233</v>
      </c>
      <c r="C60" s="1084"/>
      <c r="D60" s="1076"/>
      <c r="E60" s="1107"/>
      <c r="F60" s="1085"/>
      <c r="G60" s="121"/>
      <c r="H60" s="121"/>
      <c r="I60" s="121"/>
      <c r="J60" s="121"/>
    </row>
    <row r="61" spans="1:10" ht="22.5">
      <c r="A61" s="1064"/>
      <c r="B61" s="1088" t="s">
        <v>4234</v>
      </c>
      <c r="C61" s="1084"/>
      <c r="D61" s="1076"/>
      <c r="E61" s="1107"/>
      <c r="F61" s="1085"/>
      <c r="G61" s="121"/>
      <c r="H61" s="121"/>
      <c r="I61" s="121"/>
      <c r="J61" s="121"/>
    </row>
    <row r="62" spans="1:10">
      <c r="A62" s="1064"/>
      <c r="B62" s="1070"/>
      <c r="C62" s="1084" t="s">
        <v>3770</v>
      </c>
      <c r="D62" s="1092">
        <v>11</v>
      </c>
      <c r="E62" s="163"/>
      <c r="F62" s="1093">
        <f>D62*E62</f>
        <v>0</v>
      </c>
      <c r="G62" s="121"/>
      <c r="H62" s="121"/>
      <c r="I62" s="121"/>
      <c r="J62" s="121"/>
    </row>
    <row r="63" spans="1:10" ht="24" customHeight="1">
      <c r="A63" s="1064"/>
      <c r="B63" s="1080"/>
      <c r="C63" s="1084"/>
      <c r="D63" s="1076"/>
      <c r="E63" s="1107"/>
      <c r="F63" s="1085"/>
      <c r="G63" s="121"/>
      <c r="H63" s="121"/>
      <c r="I63" s="121"/>
      <c r="J63" s="121"/>
    </row>
    <row r="64" spans="1:10" ht="12.75">
      <c r="A64" s="1071" t="s">
        <v>4235</v>
      </c>
      <c r="B64" s="1091" t="s">
        <v>4236</v>
      </c>
      <c r="C64" s="1084"/>
      <c r="D64" s="1076"/>
      <c r="E64" s="1107"/>
      <c r="F64" s="1085"/>
      <c r="G64" s="121"/>
      <c r="H64" s="121"/>
      <c r="I64" s="121"/>
      <c r="J64" s="121"/>
    </row>
    <row r="65" spans="1:10" ht="22.5">
      <c r="A65" s="1064"/>
      <c r="B65" s="797" t="s">
        <v>4237</v>
      </c>
      <c r="C65" s="1084"/>
      <c r="D65" s="1076"/>
      <c r="E65" s="1107"/>
      <c r="F65" s="1085"/>
      <c r="G65" s="121"/>
      <c r="H65" s="121"/>
      <c r="I65" s="121"/>
      <c r="J65" s="121"/>
    </row>
    <row r="66" spans="1:10" ht="22.5">
      <c r="A66" s="1064"/>
      <c r="B66" s="1088" t="s">
        <v>4238</v>
      </c>
      <c r="C66" s="1084"/>
      <c r="D66" s="1076"/>
      <c r="E66" s="1107"/>
      <c r="F66" s="1085"/>
      <c r="G66" s="121"/>
      <c r="H66" s="121"/>
      <c r="I66" s="121"/>
      <c r="J66" s="121"/>
    </row>
    <row r="67" spans="1:10">
      <c r="A67" s="1064"/>
      <c r="B67" s="1070"/>
      <c r="C67" s="1084" t="s">
        <v>3770</v>
      </c>
      <c r="D67" s="1092">
        <v>11</v>
      </c>
      <c r="E67" s="163"/>
      <c r="F67" s="1093">
        <f>D67*E67</f>
        <v>0</v>
      </c>
      <c r="G67" s="121"/>
      <c r="H67" s="121"/>
      <c r="I67" s="121"/>
      <c r="J67" s="121"/>
    </row>
    <row r="68" spans="1:10">
      <c r="A68" s="1064"/>
      <c r="B68" s="1080"/>
      <c r="C68" s="1084"/>
      <c r="D68" s="1076"/>
      <c r="E68" s="1107"/>
      <c r="F68" s="1085"/>
      <c r="G68" s="121"/>
      <c r="H68" s="121"/>
      <c r="I68" s="121"/>
      <c r="J68" s="121"/>
    </row>
    <row r="69" spans="1:10" ht="12.75">
      <c r="A69" s="1071" t="s">
        <v>4239</v>
      </c>
      <c r="B69" s="1094" t="s">
        <v>4240</v>
      </c>
      <c r="C69" s="1084"/>
      <c r="D69" s="1076"/>
      <c r="E69" s="1107"/>
      <c r="F69" s="1085"/>
      <c r="G69" s="121"/>
      <c r="H69" s="121"/>
      <c r="I69" s="121"/>
      <c r="J69" s="121"/>
    </row>
    <row r="70" spans="1:10">
      <c r="A70" s="1064"/>
      <c r="B70" s="1088" t="s">
        <v>4241</v>
      </c>
      <c r="C70" s="1084"/>
      <c r="D70" s="1076"/>
      <c r="E70" s="1107"/>
      <c r="F70" s="1085"/>
      <c r="G70" s="121"/>
      <c r="H70" s="121"/>
      <c r="I70" s="121"/>
      <c r="J70" s="121"/>
    </row>
    <row r="71" spans="1:10" ht="22.5">
      <c r="A71" s="1064"/>
      <c r="B71" s="1088" t="s">
        <v>4242</v>
      </c>
      <c r="C71" s="1084"/>
      <c r="D71" s="1076"/>
      <c r="E71" s="1107"/>
      <c r="F71" s="1085"/>
      <c r="G71" s="121"/>
      <c r="H71" s="121"/>
      <c r="I71" s="121"/>
      <c r="J71" s="121"/>
    </row>
    <row r="72" spans="1:10" ht="22.5">
      <c r="A72" s="1064"/>
      <c r="B72" s="1088" t="s">
        <v>4243</v>
      </c>
      <c r="C72" s="1084"/>
      <c r="D72" s="1076"/>
      <c r="E72" s="1107"/>
      <c r="F72" s="1085"/>
      <c r="G72" s="121"/>
      <c r="H72" s="121"/>
      <c r="I72" s="121"/>
      <c r="J72" s="121"/>
    </row>
    <row r="73" spans="1:10">
      <c r="A73" s="1064"/>
      <c r="B73" s="1070"/>
      <c r="C73" s="1084" t="s">
        <v>3770</v>
      </c>
      <c r="D73" s="1092">
        <v>12</v>
      </c>
      <c r="E73" s="163"/>
      <c r="F73" s="1093">
        <f>D73*E73</f>
        <v>0</v>
      </c>
      <c r="G73" s="121"/>
      <c r="H73" s="121"/>
      <c r="I73" s="121"/>
      <c r="J73" s="121"/>
    </row>
    <row r="74" spans="1:10">
      <c r="A74" s="1064"/>
      <c r="B74" s="1080"/>
      <c r="C74" s="1084"/>
      <c r="D74" s="1076"/>
      <c r="E74" s="1107"/>
      <c r="F74" s="1085"/>
      <c r="G74" s="121"/>
      <c r="H74" s="121"/>
      <c r="I74" s="121"/>
      <c r="J74" s="121"/>
    </row>
    <row r="75" spans="1:10" ht="12.75">
      <c r="A75" s="1071" t="s">
        <v>4244</v>
      </c>
      <c r="B75" s="1089" t="s">
        <v>4245</v>
      </c>
      <c r="C75" s="1084"/>
      <c r="D75" s="1076"/>
      <c r="E75" s="1107"/>
      <c r="F75" s="1085"/>
      <c r="G75" s="121"/>
      <c r="H75" s="121"/>
      <c r="I75" s="121"/>
      <c r="J75" s="121"/>
    </row>
    <row r="76" spans="1:10" ht="22.5">
      <c r="A76" s="1064"/>
      <c r="B76" s="1095" t="s">
        <v>4246</v>
      </c>
      <c r="C76" s="1084"/>
      <c r="D76" s="1076"/>
      <c r="E76" s="1107"/>
      <c r="F76" s="1085"/>
      <c r="G76" s="121"/>
      <c r="H76" s="121"/>
      <c r="I76" s="121"/>
      <c r="J76" s="121"/>
    </row>
    <row r="77" spans="1:10" ht="22.5">
      <c r="A77" s="1064"/>
      <c r="B77" s="1088" t="s">
        <v>4247</v>
      </c>
      <c r="C77" s="1084"/>
      <c r="D77" s="1076"/>
      <c r="E77" s="1107"/>
      <c r="F77" s="1085"/>
      <c r="G77" s="121"/>
      <c r="H77" s="121"/>
      <c r="I77" s="121"/>
      <c r="J77" s="121"/>
    </row>
    <row r="78" spans="1:10">
      <c r="A78" s="1064"/>
      <c r="B78" s="1070"/>
      <c r="C78" s="1084" t="s">
        <v>3770</v>
      </c>
      <c r="D78" s="1092">
        <v>12</v>
      </c>
      <c r="E78" s="163"/>
      <c r="F78" s="1093">
        <f>D78*E78</f>
        <v>0</v>
      </c>
      <c r="G78" s="121"/>
      <c r="H78" s="121"/>
      <c r="I78" s="121"/>
      <c r="J78" s="121"/>
    </row>
    <row r="79" spans="1:10">
      <c r="A79" s="1064"/>
      <c r="B79" s="1088"/>
      <c r="C79" s="1084"/>
      <c r="D79" s="1076"/>
      <c r="E79" s="1107"/>
      <c r="F79" s="1085"/>
      <c r="G79" s="121"/>
      <c r="H79" s="121"/>
      <c r="I79" s="121"/>
      <c r="J79" s="121"/>
    </row>
    <row r="80" spans="1:10" ht="12.75">
      <c r="A80" s="1071" t="s">
        <v>4248</v>
      </c>
      <c r="B80" s="1096" t="s">
        <v>4249</v>
      </c>
      <c r="C80" s="1084"/>
      <c r="D80" s="1076"/>
      <c r="E80" s="1107"/>
      <c r="F80" s="1085"/>
      <c r="G80" s="121"/>
      <c r="H80" s="121"/>
      <c r="I80" s="121"/>
      <c r="J80" s="121"/>
    </row>
    <row r="81" spans="1:10">
      <c r="A81" s="1064"/>
      <c r="B81" s="1088" t="s">
        <v>4250</v>
      </c>
      <c r="C81" s="1084"/>
      <c r="D81" s="1076"/>
      <c r="E81" s="1107"/>
      <c r="F81" s="1085"/>
      <c r="G81" s="121"/>
      <c r="H81" s="121"/>
      <c r="I81" s="121"/>
      <c r="J81" s="121"/>
    </row>
    <row r="82" spans="1:10" ht="22.5">
      <c r="A82" s="1064"/>
      <c r="B82" s="1088" t="s">
        <v>4251</v>
      </c>
      <c r="C82" s="1084"/>
      <c r="D82" s="1076"/>
      <c r="E82" s="1107"/>
      <c r="F82" s="1085"/>
      <c r="G82" s="121"/>
      <c r="H82" s="121"/>
      <c r="I82" s="121"/>
      <c r="J82" s="121"/>
    </row>
    <row r="83" spans="1:10">
      <c r="A83" s="1064"/>
      <c r="B83" s="1070"/>
      <c r="C83" s="1084" t="s">
        <v>3770</v>
      </c>
      <c r="D83" s="1092">
        <v>11</v>
      </c>
      <c r="E83" s="163"/>
      <c r="F83" s="1093">
        <f>D83*E83</f>
        <v>0</v>
      </c>
      <c r="G83" s="121"/>
      <c r="H83" s="121"/>
      <c r="I83" s="121"/>
      <c r="J83" s="121"/>
    </row>
    <row r="84" spans="1:10">
      <c r="A84" s="1064"/>
      <c r="B84" s="1088"/>
      <c r="C84" s="1075"/>
      <c r="D84" s="1076"/>
      <c r="E84" s="1107"/>
      <c r="F84" s="1086"/>
      <c r="G84" s="121"/>
      <c r="H84" s="121"/>
      <c r="I84" s="121"/>
      <c r="J84" s="121"/>
    </row>
    <row r="85" spans="1:10" ht="12.75">
      <c r="A85" s="998" t="s">
        <v>978</v>
      </c>
      <c r="B85" s="1068" t="s">
        <v>4252</v>
      </c>
      <c r="C85" s="1075"/>
      <c r="D85" s="1076"/>
      <c r="E85" s="1108"/>
      <c r="F85" s="1086"/>
      <c r="G85" s="121"/>
      <c r="H85" s="121"/>
      <c r="I85" s="121"/>
      <c r="J85" s="121"/>
    </row>
    <row r="86" spans="1:10" ht="12.75">
      <c r="A86" s="1069"/>
      <c r="B86" s="1070"/>
      <c r="C86" s="1075"/>
      <c r="D86" s="1076"/>
      <c r="E86" s="1108"/>
      <c r="F86" s="1086"/>
      <c r="G86" s="121"/>
      <c r="H86" s="121"/>
      <c r="I86" s="121"/>
      <c r="J86" s="121"/>
    </row>
    <row r="87" spans="1:10" ht="12.75">
      <c r="A87" s="1071" t="s">
        <v>4200</v>
      </c>
      <c r="B87" s="1070" t="s">
        <v>4253</v>
      </c>
      <c r="C87" s="1075"/>
      <c r="D87" s="1076"/>
      <c r="E87" s="1108"/>
      <c r="F87" s="1086"/>
      <c r="G87" s="121"/>
      <c r="H87" s="121"/>
      <c r="I87" s="121"/>
      <c r="J87" s="121"/>
    </row>
    <row r="88" spans="1:10" ht="101.25">
      <c r="A88" s="1064"/>
      <c r="B88" s="1080" t="s">
        <v>4254</v>
      </c>
      <c r="C88" s="1075"/>
      <c r="D88" s="1076"/>
      <c r="E88" s="1108"/>
      <c r="F88" s="1086"/>
      <c r="G88" s="121"/>
      <c r="H88" s="121"/>
      <c r="I88" s="121"/>
      <c r="J88" s="121"/>
    </row>
    <row r="89" spans="1:10">
      <c r="A89" s="1064"/>
      <c r="B89" s="1074" t="s">
        <v>4203</v>
      </c>
      <c r="C89" s="1075" t="s">
        <v>3770</v>
      </c>
      <c r="D89" s="1076">
        <v>2</v>
      </c>
      <c r="E89" s="163"/>
      <c r="F89" s="1077">
        <f>D89*E89</f>
        <v>0</v>
      </c>
      <c r="G89" s="121"/>
      <c r="H89" s="121"/>
      <c r="I89" s="121"/>
      <c r="J89" s="121"/>
    </row>
    <row r="90" spans="1:10" ht="12" customHeight="1">
      <c r="A90" s="1064"/>
      <c r="B90" s="1074" t="s">
        <v>4204</v>
      </c>
      <c r="C90" s="1075" t="s">
        <v>3770</v>
      </c>
      <c r="D90" s="1076">
        <v>2</v>
      </c>
      <c r="E90" s="163"/>
      <c r="F90" s="1077">
        <f>D90*E90</f>
        <v>0</v>
      </c>
      <c r="G90" s="121"/>
      <c r="H90" s="121"/>
      <c r="I90" s="121"/>
      <c r="J90" s="121"/>
    </row>
    <row r="91" spans="1:10">
      <c r="A91" s="1064"/>
      <c r="B91" s="1080"/>
      <c r="C91" s="1075"/>
      <c r="D91" s="1076"/>
      <c r="E91" s="1108"/>
      <c r="F91" s="1086"/>
      <c r="G91" s="121"/>
      <c r="H91" s="121"/>
      <c r="I91" s="121"/>
      <c r="J91" s="121"/>
    </row>
    <row r="92" spans="1:10" ht="12.75">
      <c r="A92" s="1071" t="s">
        <v>4205</v>
      </c>
      <c r="B92" s="1070" t="s">
        <v>4255</v>
      </c>
      <c r="C92" s="1075"/>
      <c r="D92" s="1076"/>
      <c r="E92" s="1108"/>
      <c r="F92" s="1086"/>
      <c r="G92" s="121"/>
      <c r="H92" s="121"/>
      <c r="I92" s="121"/>
      <c r="J92" s="121"/>
    </row>
    <row r="93" spans="1:10" ht="90">
      <c r="A93" s="1064"/>
      <c r="B93" s="1087" t="s">
        <v>4256</v>
      </c>
      <c r="C93" s="1075"/>
      <c r="D93" s="1076"/>
      <c r="E93" s="1108"/>
      <c r="F93" s="1086"/>
      <c r="G93" s="121"/>
      <c r="H93" s="121"/>
      <c r="I93" s="121"/>
      <c r="J93" s="121"/>
    </row>
    <row r="94" spans="1:10">
      <c r="A94" s="1064"/>
      <c r="B94" s="1074" t="s">
        <v>4203</v>
      </c>
      <c r="C94" s="1075" t="s">
        <v>3770</v>
      </c>
      <c r="D94" s="1076">
        <v>2</v>
      </c>
      <c r="E94" s="163"/>
      <c r="F94" s="1077">
        <f>D94*E94</f>
        <v>0</v>
      </c>
      <c r="G94" s="121"/>
      <c r="H94" s="121"/>
      <c r="I94" s="121"/>
      <c r="J94" s="121"/>
    </row>
    <row r="95" spans="1:10">
      <c r="A95" s="1064"/>
      <c r="B95" s="1074" t="s">
        <v>4204</v>
      </c>
      <c r="C95" s="1075" t="s">
        <v>3770</v>
      </c>
      <c r="D95" s="1076">
        <v>2</v>
      </c>
      <c r="E95" s="163"/>
      <c r="F95" s="1077">
        <f>D95*E95</f>
        <v>0</v>
      </c>
      <c r="G95" s="121"/>
      <c r="H95" s="121"/>
      <c r="I95" s="121"/>
      <c r="J95" s="121"/>
    </row>
    <row r="96" spans="1:10">
      <c r="A96" s="1064"/>
      <c r="B96" s="1080"/>
      <c r="C96" s="1084"/>
      <c r="D96" s="1076"/>
      <c r="E96" s="1108"/>
      <c r="F96" s="1085"/>
      <c r="G96" s="121"/>
      <c r="H96" s="121"/>
      <c r="I96" s="121"/>
      <c r="J96" s="121"/>
    </row>
    <row r="97" spans="1:10" ht="12.75">
      <c r="A97" s="1071" t="s">
        <v>4208</v>
      </c>
      <c r="B97" s="1091" t="s">
        <v>4257</v>
      </c>
      <c r="C97" s="1084"/>
      <c r="D97" s="1076"/>
      <c r="E97" s="1107"/>
      <c r="F97" s="1085"/>
      <c r="G97" s="121"/>
      <c r="H97" s="121"/>
      <c r="I97" s="121"/>
      <c r="J97" s="121"/>
    </row>
    <row r="98" spans="1:10" ht="45">
      <c r="A98" s="1064"/>
      <c r="B98" s="1088" t="s">
        <v>4258</v>
      </c>
      <c r="C98" s="1084"/>
      <c r="D98" s="1076"/>
      <c r="E98" s="1107"/>
      <c r="F98" s="1085"/>
      <c r="G98" s="121"/>
      <c r="H98" s="121"/>
      <c r="I98" s="121"/>
      <c r="J98" s="121"/>
    </row>
    <row r="99" spans="1:10" ht="22.5">
      <c r="A99" s="1064"/>
      <c r="B99" s="1088" t="s">
        <v>4259</v>
      </c>
      <c r="C99" s="1084"/>
      <c r="D99" s="1076"/>
      <c r="E99" s="1107"/>
      <c r="F99" s="1085"/>
      <c r="G99" s="121"/>
      <c r="H99" s="121"/>
      <c r="I99" s="121"/>
      <c r="J99" s="121"/>
    </row>
    <row r="100" spans="1:10">
      <c r="A100" s="1064"/>
      <c r="B100" s="1070"/>
      <c r="C100" s="1084" t="s">
        <v>2632</v>
      </c>
      <c r="D100" s="1092">
        <v>2</v>
      </c>
      <c r="E100" s="163"/>
      <c r="F100" s="1093">
        <f>D100*E100</f>
        <v>0</v>
      </c>
      <c r="G100" s="121"/>
      <c r="H100" s="121"/>
      <c r="I100" s="121"/>
      <c r="J100" s="121"/>
    </row>
    <row r="101" spans="1:10">
      <c r="A101" s="1064"/>
      <c r="B101" s="1080"/>
      <c r="C101" s="1084"/>
      <c r="D101" s="1076"/>
      <c r="E101" s="1108"/>
      <c r="F101" s="1085"/>
      <c r="G101" s="121"/>
      <c r="H101" s="121"/>
      <c r="I101" s="121"/>
      <c r="J101" s="121"/>
    </row>
    <row r="102" spans="1:10" ht="12.75">
      <c r="A102" s="1071" t="s">
        <v>4211</v>
      </c>
      <c r="B102" s="1091" t="s">
        <v>4232</v>
      </c>
      <c r="C102" s="1084"/>
      <c r="D102" s="1076"/>
      <c r="E102" s="1107"/>
      <c r="F102" s="1085"/>
      <c r="G102" s="121"/>
      <c r="H102" s="121"/>
      <c r="I102" s="121"/>
      <c r="J102" s="121"/>
    </row>
    <row r="103" spans="1:10" ht="33.75">
      <c r="A103" s="1064"/>
      <c r="B103" s="1088" t="s">
        <v>4260</v>
      </c>
      <c r="C103" s="1084"/>
      <c r="D103" s="1076"/>
      <c r="E103" s="1107"/>
      <c r="F103" s="1085"/>
      <c r="G103" s="121"/>
      <c r="H103" s="121"/>
      <c r="I103" s="121"/>
      <c r="J103" s="121"/>
    </row>
    <row r="104" spans="1:10" ht="22.5">
      <c r="A104" s="1064"/>
      <c r="B104" s="1088" t="s">
        <v>4234</v>
      </c>
      <c r="C104" s="1084"/>
      <c r="D104" s="1076"/>
      <c r="E104" s="1107"/>
      <c r="F104" s="1085"/>
      <c r="G104" s="121"/>
      <c r="H104" s="121"/>
      <c r="I104" s="121"/>
      <c r="J104" s="121"/>
    </row>
    <row r="105" spans="1:10">
      <c r="A105" s="1064"/>
      <c r="B105" s="1070"/>
      <c r="C105" s="1084" t="s">
        <v>3770</v>
      </c>
      <c r="D105" s="1092">
        <v>2</v>
      </c>
      <c r="E105" s="163"/>
      <c r="F105" s="1093">
        <f>D105*E105</f>
        <v>0</v>
      </c>
      <c r="G105" s="121"/>
      <c r="H105" s="121"/>
      <c r="I105" s="121"/>
      <c r="J105" s="121"/>
    </row>
    <row r="106" spans="1:10" ht="24" customHeight="1">
      <c r="A106" s="1064"/>
      <c r="B106" s="1080"/>
      <c r="C106" s="1084"/>
      <c r="D106" s="1076"/>
      <c r="E106" s="1107"/>
      <c r="F106" s="1085"/>
      <c r="G106" s="121"/>
      <c r="H106" s="121"/>
      <c r="I106" s="121"/>
      <c r="J106" s="121"/>
    </row>
    <row r="107" spans="1:10" ht="12.75">
      <c r="A107" s="1071" t="s">
        <v>4219</v>
      </c>
      <c r="B107" s="1091" t="s">
        <v>4236</v>
      </c>
      <c r="C107" s="1084"/>
      <c r="D107" s="1076"/>
      <c r="E107" s="1107"/>
      <c r="F107" s="1085"/>
      <c r="G107" s="121"/>
      <c r="H107" s="121"/>
      <c r="I107" s="121"/>
      <c r="J107" s="121"/>
    </row>
    <row r="108" spans="1:10" ht="22.5">
      <c r="A108" s="1064"/>
      <c r="B108" s="797" t="s">
        <v>4261</v>
      </c>
      <c r="C108" s="1084"/>
      <c r="D108" s="1076"/>
      <c r="E108" s="1107"/>
      <c r="F108" s="1085"/>
      <c r="G108" s="121"/>
      <c r="H108" s="121"/>
      <c r="I108" s="121"/>
      <c r="J108" s="121"/>
    </row>
    <row r="109" spans="1:10" ht="22.5">
      <c r="A109" s="1064"/>
      <c r="B109" s="1088" t="s">
        <v>4238</v>
      </c>
      <c r="C109" s="1084"/>
      <c r="D109" s="1076"/>
      <c r="E109" s="1107"/>
      <c r="F109" s="1085"/>
      <c r="G109" s="121"/>
      <c r="H109" s="121"/>
      <c r="I109" s="121"/>
      <c r="J109" s="121"/>
    </row>
    <row r="110" spans="1:10">
      <c r="A110" s="1064"/>
      <c r="B110" s="1070"/>
      <c r="C110" s="1084" t="s">
        <v>3770</v>
      </c>
      <c r="D110" s="1092">
        <v>2</v>
      </c>
      <c r="E110" s="163"/>
      <c r="F110" s="1093">
        <f>D110*E110</f>
        <v>0</v>
      </c>
      <c r="G110" s="121"/>
      <c r="H110" s="121"/>
      <c r="I110" s="121"/>
      <c r="J110" s="121"/>
    </row>
    <row r="111" spans="1:10">
      <c r="A111" s="1064"/>
      <c r="B111" s="1080"/>
      <c r="C111" s="1084"/>
      <c r="D111" s="1076"/>
      <c r="E111" s="1107"/>
      <c r="F111" s="1085"/>
      <c r="G111" s="121"/>
      <c r="H111" s="121"/>
      <c r="I111" s="121"/>
      <c r="J111" s="121"/>
    </row>
    <row r="112" spans="1:10" ht="12.75">
      <c r="A112" s="1071" t="s">
        <v>4222</v>
      </c>
      <c r="B112" s="1094" t="s">
        <v>4240</v>
      </c>
      <c r="C112" s="1084"/>
      <c r="D112" s="1076"/>
      <c r="E112" s="1107"/>
      <c r="F112" s="1085"/>
      <c r="G112" s="121"/>
      <c r="H112" s="121"/>
      <c r="I112" s="121"/>
      <c r="J112" s="121"/>
    </row>
    <row r="113" spans="1:10">
      <c r="A113" s="1064"/>
      <c r="B113" s="1088" t="s">
        <v>4241</v>
      </c>
      <c r="C113" s="1084"/>
      <c r="D113" s="1076"/>
      <c r="E113" s="1107"/>
      <c r="F113" s="1085"/>
      <c r="G113" s="121"/>
      <c r="H113" s="121"/>
      <c r="I113" s="121"/>
      <c r="J113" s="121"/>
    </row>
    <row r="114" spans="1:10" ht="22.5">
      <c r="A114" s="1064"/>
      <c r="B114" s="1088" t="s">
        <v>4242</v>
      </c>
      <c r="C114" s="1084"/>
      <c r="D114" s="1076"/>
      <c r="E114" s="1107"/>
      <c r="F114" s="1085"/>
      <c r="G114" s="121"/>
      <c r="H114" s="121"/>
      <c r="I114" s="121"/>
      <c r="J114" s="121"/>
    </row>
    <row r="115" spans="1:10" ht="22.5">
      <c r="A115" s="1064"/>
      <c r="B115" s="1088" t="s">
        <v>4243</v>
      </c>
      <c r="C115" s="1084"/>
      <c r="D115" s="1076"/>
      <c r="E115" s="1107"/>
      <c r="F115" s="1085"/>
      <c r="G115" s="121"/>
      <c r="H115" s="121"/>
      <c r="I115" s="121"/>
      <c r="J115" s="121"/>
    </row>
    <row r="116" spans="1:10">
      <c r="A116" s="1064"/>
      <c r="B116" s="1070"/>
      <c r="C116" s="1084" t="s">
        <v>3770</v>
      </c>
      <c r="D116" s="1092">
        <v>2</v>
      </c>
      <c r="E116" s="163"/>
      <c r="F116" s="1093">
        <f>D116*E116</f>
        <v>0</v>
      </c>
      <c r="G116" s="121"/>
      <c r="H116" s="121"/>
      <c r="I116" s="121"/>
      <c r="J116" s="121"/>
    </row>
    <row r="117" spans="1:10">
      <c r="A117" s="1064"/>
      <c r="B117" s="1080"/>
      <c r="C117" s="1084"/>
      <c r="D117" s="1076"/>
      <c r="E117" s="1107"/>
      <c r="F117" s="1085"/>
      <c r="G117" s="121"/>
      <c r="H117" s="121"/>
      <c r="I117" s="121"/>
      <c r="J117" s="121"/>
    </row>
    <row r="118" spans="1:10" ht="12.75">
      <c r="A118" s="1071" t="s">
        <v>4225</v>
      </c>
      <c r="B118" s="1089" t="s">
        <v>4245</v>
      </c>
      <c r="C118" s="1084"/>
      <c r="D118" s="1076"/>
      <c r="E118" s="1107"/>
      <c r="F118" s="1085"/>
      <c r="G118" s="121"/>
      <c r="H118" s="121"/>
      <c r="I118" s="121"/>
      <c r="J118" s="121"/>
    </row>
    <row r="119" spans="1:10" ht="22.5">
      <c r="A119" s="1064"/>
      <c r="B119" s="1095" t="s">
        <v>4246</v>
      </c>
      <c r="C119" s="1084"/>
      <c r="D119" s="1076"/>
      <c r="E119" s="1107"/>
      <c r="F119" s="1085"/>
      <c r="G119" s="121"/>
      <c r="H119" s="121"/>
      <c r="I119" s="121"/>
      <c r="J119" s="121"/>
    </row>
    <row r="120" spans="1:10" ht="22.5">
      <c r="A120" s="1064"/>
      <c r="B120" s="1088" t="s">
        <v>4247</v>
      </c>
      <c r="C120" s="1084"/>
      <c r="D120" s="1076"/>
      <c r="E120" s="1107"/>
      <c r="F120" s="1085"/>
      <c r="G120" s="121"/>
      <c r="H120" s="121"/>
      <c r="I120" s="121"/>
      <c r="J120" s="121"/>
    </row>
    <row r="121" spans="1:10">
      <c r="A121" s="1064"/>
      <c r="B121" s="1070"/>
      <c r="C121" s="1084" t="s">
        <v>3770</v>
      </c>
      <c r="D121" s="1092">
        <v>2</v>
      </c>
      <c r="E121" s="163"/>
      <c r="F121" s="1093">
        <f>D121*E121</f>
        <v>0</v>
      </c>
      <c r="G121" s="121"/>
      <c r="H121" s="121"/>
      <c r="I121" s="121"/>
      <c r="J121" s="121"/>
    </row>
    <row r="122" spans="1:10">
      <c r="A122" s="1064"/>
      <c r="B122" s="1088"/>
      <c r="C122" s="1084"/>
      <c r="D122" s="1076"/>
      <c r="E122" s="1107"/>
      <c r="F122" s="1085"/>
      <c r="G122" s="121"/>
      <c r="H122" s="121"/>
      <c r="I122" s="121"/>
      <c r="J122" s="121"/>
    </row>
    <row r="123" spans="1:10" ht="12.75">
      <c r="A123" s="1071" t="s">
        <v>4228</v>
      </c>
      <c r="B123" s="1096" t="s">
        <v>4249</v>
      </c>
      <c r="C123" s="1084"/>
      <c r="D123" s="1076"/>
      <c r="E123" s="1107"/>
      <c r="F123" s="1085"/>
      <c r="G123" s="121"/>
      <c r="H123" s="121"/>
      <c r="I123" s="121"/>
      <c r="J123" s="121"/>
    </row>
    <row r="124" spans="1:10" ht="22.5">
      <c r="A124" s="1064"/>
      <c r="B124" s="1088" t="s">
        <v>4262</v>
      </c>
      <c r="C124" s="1084"/>
      <c r="D124" s="1076"/>
      <c r="E124" s="1107"/>
      <c r="F124" s="1085"/>
      <c r="G124" s="121"/>
      <c r="H124" s="121"/>
      <c r="I124" s="121"/>
      <c r="J124" s="121"/>
    </row>
    <row r="125" spans="1:10" ht="22.5">
      <c r="A125" s="1064"/>
      <c r="B125" s="1088" t="s">
        <v>4263</v>
      </c>
      <c r="C125" s="1084"/>
      <c r="D125" s="1076"/>
      <c r="E125" s="1107"/>
      <c r="F125" s="1085"/>
      <c r="G125" s="121"/>
      <c r="H125" s="121"/>
      <c r="I125" s="121"/>
      <c r="J125" s="121"/>
    </row>
    <row r="126" spans="1:10" ht="22.5">
      <c r="A126" s="1064"/>
      <c r="B126" s="1088" t="s">
        <v>4251</v>
      </c>
      <c r="C126" s="1084"/>
      <c r="D126" s="1076"/>
      <c r="E126" s="1107"/>
      <c r="F126" s="1085"/>
      <c r="G126" s="121"/>
      <c r="H126" s="121"/>
      <c r="I126" s="121"/>
      <c r="J126" s="121"/>
    </row>
    <row r="127" spans="1:10">
      <c r="A127" s="1064"/>
      <c r="B127" s="1070"/>
      <c r="C127" s="1084" t="s">
        <v>3770</v>
      </c>
      <c r="D127" s="1092">
        <v>2</v>
      </c>
      <c r="E127" s="163"/>
      <c r="F127" s="1093">
        <f>D127*E127</f>
        <v>0</v>
      </c>
      <c r="G127" s="121"/>
      <c r="H127" s="121"/>
      <c r="I127" s="121"/>
      <c r="J127" s="121"/>
    </row>
    <row r="128" spans="1:10">
      <c r="A128" s="1064"/>
      <c r="B128" s="1088"/>
      <c r="C128" s="1075"/>
      <c r="D128" s="1076"/>
      <c r="E128" s="1107"/>
      <c r="F128" s="1086"/>
      <c r="G128" s="121"/>
      <c r="H128" s="121"/>
      <c r="I128" s="121"/>
      <c r="J128" s="121"/>
    </row>
    <row r="129" spans="1:10" ht="12.75">
      <c r="A129" s="998" t="s">
        <v>980</v>
      </c>
      <c r="B129" s="1068" t="s">
        <v>4264</v>
      </c>
      <c r="C129" s="1075"/>
      <c r="D129" s="1076"/>
      <c r="E129" s="1108"/>
      <c r="F129" s="1086"/>
      <c r="G129" s="121"/>
      <c r="H129" s="121"/>
      <c r="I129" s="121"/>
      <c r="J129" s="121"/>
    </row>
    <row r="130" spans="1:10" ht="12.75">
      <c r="A130" s="1069"/>
      <c r="B130" s="1070"/>
      <c r="C130" s="1075"/>
      <c r="D130" s="1076"/>
      <c r="E130" s="1108"/>
      <c r="F130" s="1086"/>
      <c r="G130" s="121"/>
      <c r="H130" s="121"/>
      <c r="I130" s="121"/>
      <c r="J130" s="121"/>
    </row>
    <row r="131" spans="1:10" ht="12.75">
      <c r="A131" s="1071" t="s">
        <v>4200</v>
      </c>
      <c r="B131" s="1070" t="s">
        <v>4265</v>
      </c>
      <c r="C131" s="1075"/>
      <c r="D131" s="1076"/>
      <c r="E131" s="1108"/>
      <c r="F131" s="1086"/>
      <c r="G131" s="121"/>
      <c r="H131" s="121"/>
      <c r="I131" s="121"/>
      <c r="J131" s="121"/>
    </row>
    <row r="132" spans="1:10" ht="56.25">
      <c r="A132" s="1064"/>
      <c r="B132" s="1080" t="s">
        <v>4266</v>
      </c>
      <c r="C132" s="1075"/>
      <c r="D132" s="1076"/>
      <c r="E132" s="1108"/>
      <c r="F132" s="1086"/>
      <c r="G132" s="121"/>
      <c r="H132" s="121"/>
      <c r="I132" s="121"/>
      <c r="J132" s="121"/>
    </row>
    <row r="133" spans="1:10">
      <c r="A133" s="1064"/>
      <c r="B133" s="1097" t="s">
        <v>4267</v>
      </c>
      <c r="C133" s="1075" t="s">
        <v>3770</v>
      </c>
      <c r="D133" s="1092">
        <v>2</v>
      </c>
      <c r="E133" s="163"/>
      <c r="F133" s="1077">
        <f>D133*E133</f>
        <v>0</v>
      </c>
      <c r="G133" s="121"/>
      <c r="H133" s="121"/>
      <c r="I133" s="121"/>
      <c r="J133" s="121"/>
    </row>
    <row r="134" spans="1:10" ht="12" customHeight="1">
      <c r="A134" s="1064"/>
      <c r="B134" s="1097" t="s">
        <v>4268</v>
      </c>
      <c r="C134" s="1075" t="s">
        <v>3770</v>
      </c>
      <c r="D134" s="1092">
        <v>2</v>
      </c>
      <c r="E134" s="163"/>
      <c r="F134" s="1077">
        <f>D134*E134</f>
        <v>0</v>
      </c>
      <c r="G134" s="121"/>
      <c r="H134" s="121"/>
      <c r="I134" s="121"/>
      <c r="J134" s="121"/>
    </row>
    <row r="135" spans="1:10">
      <c r="A135" s="1064"/>
      <c r="B135" s="1097" t="s">
        <v>4269</v>
      </c>
      <c r="C135" s="1075" t="s">
        <v>3770</v>
      </c>
      <c r="D135" s="1092">
        <v>3</v>
      </c>
      <c r="E135" s="163"/>
      <c r="F135" s="1077">
        <f>D135*E135</f>
        <v>0</v>
      </c>
      <c r="G135" s="121"/>
      <c r="H135" s="121"/>
      <c r="I135" s="121"/>
      <c r="J135" s="121"/>
    </row>
    <row r="136" spans="1:10" ht="13.5" thickBot="1">
      <c r="A136" s="1098"/>
      <c r="B136" s="1099"/>
      <c r="C136" s="1100"/>
      <c r="D136" s="1101"/>
      <c r="E136" s="1109"/>
      <c r="F136" s="1102"/>
    </row>
    <row r="137" spans="1:10" ht="13.5" thickBot="1">
      <c r="A137" s="1047" t="s">
        <v>981</v>
      </c>
      <c r="B137" s="1103" t="s">
        <v>4270</v>
      </c>
      <c r="C137" s="1103"/>
      <c r="D137" s="1103" t="s">
        <v>3989</v>
      </c>
      <c r="E137" s="1110"/>
      <c r="F137" s="823">
        <f>SUM(F10:F136)</f>
        <v>0</v>
      </c>
    </row>
    <row r="138" spans="1:10">
      <c r="E138" s="1111"/>
    </row>
    <row r="139" spans="1:10">
      <c r="E139" s="1111"/>
    </row>
    <row r="140" spans="1:10">
      <c r="E140" s="1111"/>
    </row>
  </sheetData>
  <sheetProtection algorithmName="SHA-512" hashValue="QTRq496ZXjwQYiPeDKmfD+I5+4p/E5XL9kJcgAwaz8FkYPOpXPEzSiOxxTaYWWXjQ2N/ofFRXXkzl5YrsQjeCg==" saltValue="eFEddWRZr3CRl94G8n4EZQ==" spinCount="100000" sheet="1" objects="1" scenarios="1"/>
  <protectedRanges>
    <protectedRange sqref="E23:E30 E33:E40" name="Range1"/>
  </protectedRanges>
  <mergeCells count="2">
    <mergeCell ref="B1:F1"/>
    <mergeCell ref="A2:F2"/>
  </mergeCells>
  <printOptions horizontalCentered="1" gridLinesSet="0"/>
  <pageMargins left="0.59055118110236227" right="0.19685039370078741" top="0.39370078740157483" bottom="0.39370078740157483" header="0.47244094488188981" footer="0.51181102362204722"/>
  <pageSetup paperSize="9" scale="89" orientation="portrait" r:id="rId1"/>
  <headerFooter alignWithMargins="0">
    <oddFooter>&amp;L&amp;8 3. HIDROTEHNIČKE INSTALACIJE&amp;R&amp;8&amp;P</oddFooter>
  </headerFooter>
  <rowBreaks count="4" manualBreakCount="4">
    <brk id="22" max="5" man="1"/>
    <brk id="42" max="5" man="1"/>
    <brk id="78" max="5" man="1"/>
    <brk id="110" max="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B42"/>
  <sheetViews>
    <sheetView topLeftCell="A22" zoomScaleNormal="100" zoomScalePageLayoutView="130" workbookViewId="0">
      <selection activeCell="B32" sqref="B32"/>
    </sheetView>
  </sheetViews>
  <sheetFormatPr defaultColWidth="8.85546875" defaultRowHeight="15"/>
  <cols>
    <col min="1" max="1" width="3.85546875" style="56" customWidth="1"/>
    <col min="2" max="2" width="79.85546875" style="56" customWidth="1"/>
    <col min="3" max="3" width="6.7109375" style="56" customWidth="1"/>
    <col min="4" max="215" width="8.85546875" style="56"/>
    <col min="216" max="216" width="5.42578125" style="56" customWidth="1"/>
    <col min="217" max="217" width="52.42578125" style="56" customWidth="1"/>
    <col min="218" max="218" width="6.7109375" style="56" customWidth="1"/>
    <col min="219" max="219" width="5.7109375" style="56" customWidth="1"/>
    <col min="220" max="220" width="13.7109375" style="56" customWidth="1"/>
    <col min="221" max="221" width="13.5703125" style="56" customWidth="1"/>
    <col min="222" max="222" width="0.28515625" style="56" customWidth="1"/>
    <col min="223" max="223" width="4.7109375" style="56" customWidth="1"/>
    <col min="224" max="230" width="8.85546875" style="56" customWidth="1"/>
    <col min="231" max="471" width="8.85546875" style="56"/>
    <col min="472" max="472" width="5.42578125" style="56" customWidth="1"/>
    <col min="473" max="473" width="52.42578125" style="56" customWidth="1"/>
    <col min="474" max="474" width="6.7109375" style="56" customWidth="1"/>
    <col min="475" max="475" width="5.7109375" style="56" customWidth="1"/>
    <col min="476" max="476" width="13.7109375" style="56" customWidth="1"/>
    <col min="477" max="477" width="13.5703125" style="56" customWidth="1"/>
    <col min="478" max="478" width="0.28515625" style="56" customWidth="1"/>
    <col min="479" max="479" width="4.7109375" style="56" customWidth="1"/>
    <col min="480" max="486" width="8.85546875" style="56" customWidth="1"/>
    <col min="487" max="727" width="8.85546875" style="56"/>
    <col min="728" max="728" width="5.42578125" style="56" customWidth="1"/>
    <col min="729" max="729" width="52.42578125" style="56" customWidth="1"/>
    <col min="730" max="730" width="6.7109375" style="56" customWidth="1"/>
    <col min="731" max="731" width="5.7109375" style="56" customWidth="1"/>
    <col min="732" max="732" width="13.7109375" style="56" customWidth="1"/>
    <col min="733" max="733" width="13.5703125" style="56" customWidth="1"/>
    <col min="734" max="734" width="0.28515625" style="56" customWidth="1"/>
    <col min="735" max="735" width="4.7109375" style="56" customWidth="1"/>
    <col min="736" max="742" width="8.85546875" style="56" customWidth="1"/>
    <col min="743" max="983" width="8.85546875" style="56"/>
    <col min="984" max="984" width="5.42578125" style="56" customWidth="1"/>
    <col min="985" max="985" width="52.42578125" style="56" customWidth="1"/>
    <col min="986" max="986" width="6.7109375" style="56" customWidth="1"/>
    <col min="987" max="987" width="5.7109375" style="56" customWidth="1"/>
    <col min="988" max="988" width="13.7109375" style="56" customWidth="1"/>
    <col min="989" max="989" width="13.5703125" style="56" customWidth="1"/>
    <col min="990" max="990" width="0.28515625" style="56" customWidth="1"/>
    <col min="991" max="991" width="4.7109375" style="56" customWidth="1"/>
    <col min="992" max="998" width="8.85546875" style="56" customWidth="1"/>
    <col min="999" max="1239" width="8.85546875" style="56"/>
    <col min="1240" max="1240" width="5.42578125" style="56" customWidth="1"/>
    <col min="1241" max="1241" width="52.42578125" style="56" customWidth="1"/>
    <col min="1242" max="1242" width="6.7109375" style="56" customWidth="1"/>
    <col min="1243" max="1243" width="5.7109375" style="56" customWidth="1"/>
    <col min="1244" max="1244" width="13.7109375" style="56" customWidth="1"/>
    <col min="1245" max="1245" width="13.5703125" style="56" customWidth="1"/>
    <col min="1246" max="1246" width="0.28515625" style="56" customWidth="1"/>
    <col min="1247" max="1247" width="4.7109375" style="56" customWidth="1"/>
    <col min="1248" max="1254" width="8.85546875" style="56" customWidth="1"/>
    <col min="1255" max="1495" width="8.85546875" style="56"/>
    <col min="1496" max="1496" width="5.42578125" style="56" customWidth="1"/>
    <col min="1497" max="1497" width="52.42578125" style="56" customWidth="1"/>
    <col min="1498" max="1498" width="6.7109375" style="56" customWidth="1"/>
    <col min="1499" max="1499" width="5.7109375" style="56" customWidth="1"/>
    <col min="1500" max="1500" width="13.7109375" style="56" customWidth="1"/>
    <col min="1501" max="1501" width="13.5703125" style="56" customWidth="1"/>
    <col min="1502" max="1502" width="0.28515625" style="56" customWidth="1"/>
    <col min="1503" max="1503" width="4.7109375" style="56" customWidth="1"/>
    <col min="1504" max="1510" width="8.85546875" style="56" customWidth="1"/>
    <col min="1511" max="1751" width="8.85546875" style="56"/>
    <col min="1752" max="1752" width="5.42578125" style="56" customWidth="1"/>
    <col min="1753" max="1753" width="52.42578125" style="56" customWidth="1"/>
    <col min="1754" max="1754" width="6.7109375" style="56" customWidth="1"/>
    <col min="1755" max="1755" width="5.7109375" style="56" customWidth="1"/>
    <col min="1756" max="1756" width="13.7109375" style="56" customWidth="1"/>
    <col min="1757" max="1757" width="13.5703125" style="56" customWidth="1"/>
    <col min="1758" max="1758" width="0.28515625" style="56" customWidth="1"/>
    <col min="1759" max="1759" width="4.7109375" style="56" customWidth="1"/>
    <col min="1760" max="1766" width="8.85546875" style="56" customWidth="1"/>
    <col min="1767" max="2007" width="8.85546875" style="56"/>
    <col min="2008" max="2008" width="5.42578125" style="56" customWidth="1"/>
    <col min="2009" max="2009" width="52.42578125" style="56" customWidth="1"/>
    <col min="2010" max="2010" width="6.7109375" style="56" customWidth="1"/>
    <col min="2011" max="2011" width="5.7109375" style="56" customWidth="1"/>
    <col min="2012" max="2012" width="13.7109375" style="56" customWidth="1"/>
    <col min="2013" max="2013" width="13.5703125" style="56" customWidth="1"/>
    <col min="2014" max="2014" width="0.28515625" style="56" customWidth="1"/>
    <col min="2015" max="2015" width="4.7109375" style="56" customWidth="1"/>
    <col min="2016" max="2022" width="8.85546875" style="56" customWidth="1"/>
    <col min="2023" max="2263" width="8.85546875" style="56"/>
    <col min="2264" max="2264" width="5.42578125" style="56" customWidth="1"/>
    <col min="2265" max="2265" width="52.42578125" style="56" customWidth="1"/>
    <col min="2266" max="2266" width="6.7109375" style="56" customWidth="1"/>
    <col min="2267" max="2267" width="5.7109375" style="56" customWidth="1"/>
    <col min="2268" max="2268" width="13.7109375" style="56" customWidth="1"/>
    <col min="2269" max="2269" width="13.5703125" style="56" customWidth="1"/>
    <col min="2270" max="2270" width="0.28515625" style="56" customWidth="1"/>
    <col min="2271" max="2271" width="4.7109375" style="56" customWidth="1"/>
    <col min="2272" max="2278" width="8.85546875" style="56" customWidth="1"/>
    <col min="2279" max="2519" width="8.85546875" style="56"/>
    <col min="2520" max="2520" width="5.42578125" style="56" customWidth="1"/>
    <col min="2521" max="2521" width="52.42578125" style="56" customWidth="1"/>
    <col min="2522" max="2522" width="6.7109375" style="56" customWidth="1"/>
    <col min="2523" max="2523" width="5.7109375" style="56" customWidth="1"/>
    <col min="2524" max="2524" width="13.7109375" style="56" customWidth="1"/>
    <col min="2525" max="2525" width="13.5703125" style="56" customWidth="1"/>
    <col min="2526" max="2526" width="0.28515625" style="56" customWidth="1"/>
    <col min="2527" max="2527" width="4.7109375" style="56" customWidth="1"/>
    <col min="2528" max="2534" width="8.85546875" style="56" customWidth="1"/>
    <col min="2535" max="2775" width="8.85546875" style="56"/>
    <col min="2776" max="2776" width="5.42578125" style="56" customWidth="1"/>
    <col min="2777" max="2777" width="52.42578125" style="56" customWidth="1"/>
    <col min="2778" max="2778" width="6.7109375" style="56" customWidth="1"/>
    <col min="2779" max="2779" width="5.7109375" style="56" customWidth="1"/>
    <col min="2780" max="2780" width="13.7109375" style="56" customWidth="1"/>
    <col min="2781" max="2781" width="13.5703125" style="56" customWidth="1"/>
    <col min="2782" max="2782" width="0.28515625" style="56" customWidth="1"/>
    <col min="2783" max="2783" width="4.7109375" style="56" customWidth="1"/>
    <col min="2784" max="2790" width="8.85546875" style="56" customWidth="1"/>
    <col min="2791" max="3031" width="8.85546875" style="56"/>
    <col min="3032" max="3032" width="5.42578125" style="56" customWidth="1"/>
    <col min="3033" max="3033" width="52.42578125" style="56" customWidth="1"/>
    <col min="3034" max="3034" width="6.7109375" style="56" customWidth="1"/>
    <col min="3035" max="3035" width="5.7109375" style="56" customWidth="1"/>
    <col min="3036" max="3036" width="13.7109375" style="56" customWidth="1"/>
    <col min="3037" max="3037" width="13.5703125" style="56" customWidth="1"/>
    <col min="3038" max="3038" width="0.28515625" style="56" customWidth="1"/>
    <col min="3039" max="3039" width="4.7109375" style="56" customWidth="1"/>
    <col min="3040" max="3046" width="8.85546875" style="56" customWidth="1"/>
    <col min="3047" max="3287" width="8.85546875" style="56"/>
    <col min="3288" max="3288" width="5.42578125" style="56" customWidth="1"/>
    <col min="3289" max="3289" width="52.42578125" style="56" customWidth="1"/>
    <col min="3290" max="3290" width="6.7109375" style="56" customWidth="1"/>
    <col min="3291" max="3291" width="5.7109375" style="56" customWidth="1"/>
    <col min="3292" max="3292" width="13.7109375" style="56" customWidth="1"/>
    <col min="3293" max="3293" width="13.5703125" style="56" customWidth="1"/>
    <col min="3294" max="3294" width="0.28515625" style="56" customWidth="1"/>
    <col min="3295" max="3295" width="4.7109375" style="56" customWidth="1"/>
    <col min="3296" max="3302" width="8.85546875" style="56" customWidth="1"/>
    <col min="3303" max="3543" width="8.85546875" style="56"/>
    <col min="3544" max="3544" width="5.42578125" style="56" customWidth="1"/>
    <col min="3545" max="3545" width="52.42578125" style="56" customWidth="1"/>
    <col min="3546" max="3546" width="6.7109375" style="56" customWidth="1"/>
    <col min="3547" max="3547" width="5.7109375" style="56" customWidth="1"/>
    <col min="3548" max="3548" width="13.7109375" style="56" customWidth="1"/>
    <col min="3549" max="3549" width="13.5703125" style="56" customWidth="1"/>
    <col min="3550" max="3550" width="0.28515625" style="56" customWidth="1"/>
    <col min="3551" max="3551" width="4.7109375" style="56" customWidth="1"/>
    <col min="3552" max="3558" width="8.85546875" style="56" customWidth="1"/>
    <col min="3559" max="3799" width="8.85546875" style="56"/>
    <col min="3800" max="3800" width="5.42578125" style="56" customWidth="1"/>
    <col min="3801" max="3801" width="52.42578125" style="56" customWidth="1"/>
    <col min="3802" max="3802" width="6.7109375" style="56" customWidth="1"/>
    <col min="3803" max="3803" width="5.7109375" style="56" customWidth="1"/>
    <col min="3804" max="3804" width="13.7109375" style="56" customWidth="1"/>
    <col min="3805" max="3805" width="13.5703125" style="56" customWidth="1"/>
    <col min="3806" max="3806" width="0.28515625" style="56" customWidth="1"/>
    <col min="3807" max="3807" width="4.7109375" style="56" customWidth="1"/>
    <col min="3808" max="3814" width="8.85546875" style="56" customWidth="1"/>
    <col min="3815" max="4055" width="8.85546875" style="56"/>
    <col min="4056" max="4056" width="5.42578125" style="56" customWidth="1"/>
    <col min="4057" max="4057" width="52.42578125" style="56" customWidth="1"/>
    <col min="4058" max="4058" width="6.7109375" style="56" customWidth="1"/>
    <col min="4059" max="4059" width="5.7109375" style="56" customWidth="1"/>
    <col min="4060" max="4060" width="13.7109375" style="56" customWidth="1"/>
    <col min="4061" max="4061" width="13.5703125" style="56" customWidth="1"/>
    <col min="4062" max="4062" width="0.28515625" style="56" customWidth="1"/>
    <col min="4063" max="4063" width="4.7109375" style="56" customWidth="1"/>
    <col min="4064" max="4070" width="8.85546875" style="56" customWidth="1"/>
    <col min="4071" max="4311" width="8.85546875" style="56"/>
    <col min="4312" max="4312" width="5.42578125" style="56" customWidth="1"/>
    <col min="4313" max="4313" width="52.42578125" style="56" customWidth="1"/>
    <col min="4314" max="4314" width="6.7109375" style="56" customWidth="1"/>
    <col min="4315" max="4315" width="5.7109375" style="56" customWidth="1"/>
    <col min="4316" max="4316" width="13.7109375" style="56" customWidth="1"/>
    <col min="4317" max="4317" width="13.5703125" style="56" customWidth="1"/>
    <col min="4318" max="4318" width="0.28515625" style="56" customWidth="1"/>
    <col min="4319" max="4319" width="4.7109375" style="56" customWidth="1"/>
    <col min="4320" max="4326" width="8.85546875" style="56" customWidth="1"/>
    <col min="4327" max="4567" width="8.85546875" style="56"/>
    <col min="4568" max="4568" width="5.42578125" style="56" customWidth="1"/>
    <col min="4569" max="4569" width="52.42578125" style="56" customWidth="1"/>
    <col min="4570" max="4570" width="6.7109375" style="56" customWidth="1"/>
    <col min="4571" max="4571" width="5.7109375" style="56" customWidth="1"/>
    <col min="4572" max="4572" width="13.7109375" style="56" customWidth="1"/>
    <col min="4573" max="4573" width="13.5703125" style="56" customWidth="1"/>
    <col min="4574" max="4574" width="0.28515625" style="56" customWidth="1"/>
    <col min="4575" max="4575" width="4.7109375" style="56" customWidth="1"/>
    <col min="4576" max="4582" width="8.85546875" style="56" customWidth="1"/>
    <col min="4583" max="4823" width="8.85546875" style="56"/>
    <col min="4824" max="4824" width="5.42578125" style="56" customWidth="1"/>
    <col min="4825" max="4825" width="52.42578125" style="56" customWidth="1"/>
    <col min="4826" max="4826" width="6.7109375" style="56" customWidth="1"/>
    <col min="4827" max="4827" width="5.7109375" style="56" customWidth="1"/>
    <col min="4828" max="4828" width="13.7109375" style="56" customWidth="1"/>
    <col min="4829" max="4829" width="13.5703125" style="56" customWidth="1"/>
    <col min="4830" max="4830" width="0.28515625" style="56" customWidth="1"/>
    <col min="4831" max="4831" width="4.7109375" style="56" customWidth="1"/>
    <col min="4832" max="4838" width="8.85546875" style="56" customWidth="1"/>
    <col min="4839" max="5079" width="8.85546875" style="56"/>
    <col min="5080" max="5080" width="5.42578125" style="56" customWidth="1"/>
    <col min="5081" max="5081" width="52.42578125" style="56" customWidth="1"/>
    <col min="5082" max="5082" width="6.7109375" style="56" customWidth="1"/>
    <col min="5083" max="5083" width="5.7109375" style="56" customWidth="1"/>
    <col min="5084" max="5084" width="13.7109375" style="56" customWidth="1"/>
    <col min="5085" max="5085" width="13.5703125" style="56" customWidth="1"/>
    <col min="5086" max="5086" width="0.28515625" style="56" customWidth="1"/>
    <col min="5087" max="5087" width="4.7109375" style="56" customWidth="1"/>
    <col min="5088" max="5094" width="8.85546875" style="56" customWidth="1"/>
    <col min="5095" max="5335" width="8.85546875" style="56"/>
    <col min="5336" max="5336" width="5.42578125" style="56" customWidth="1"/>
    <col min="5337" max="5337" width="52.42578125" style="56" customWidth="1"/>
    <col min="5338" max="5338" width="6.7109375" style="56" customWidth="1"/>
    <col min="5339" max="5339" width="5.7109375" style="56" customWidth="1"/>
    <col min="5340" max="5340" width="13.7109375" style="56" customWidth="1"/>
    <col min="5341" max="5341" width="13.5703125" style="56" customWidth="1"/>
    <col min="5342" max="5342" width="0.28515625" style="56" customWidth="1"/>
    <col min="5343" max="5343" width="4.7109375" style="56" customWidth="1"/>
    <col min="5344" max="5350" width="8.85546875" style="56" customWidth="1"/>
    <col min="5351" max="5591" width="8.85546875" style="56"/>
    <col min="5592" max="5592" width="5.42578125" style="56" customWidth="1"/>
    <col min="5593" max="5593" width="52.42578125" style="56" customWidth="1"/>
    <col min="5594" max="5594" width="6.7109375" style="56" customWidth="1"/>
    <col min="5595" max="5595" width="5.7109375" style="56" customWidth="1"/>
    <col min="5596" max="5596" width="13.7109375" style="56" customWidth="1"/>
    <col min="5597" max="5597" width="13.5703125" style="56" customWidth="1"/>
    <col min="5598" max="5598" width="0.28515625" style="56" customWidth="1"/>
    <col min="5599" max="5599" width="4.7109375" style="56" customWidth="1"/>
    <col min="5600" max="5606" width="8.85546875" style="56" customWidth="1"/>
    <col min="5607" max="5847" width="8.85546875" style="56"/>
    <col min="5848" max="5848" width="5.42578125" style="56" customWidth="1"/>
    <col min="5849" max="5849" width="52.42578125" style="56" customWidth="1"/>
    <col min="5850" max="5850" width="6.7109375" style="56" customWidth="1"/>
    <col min="5851" max="5851" width="5.7109375" style="56" customWidth="1"/>
    <col min="5852" max="5852" width="13.7109375" style="56" customWidth="1"/>
    <col min="5853" max="5853" width="13.5703125" style="56" customWidth="1"/>
    <col min="5854" max="5854" width="0.28515625" style="56" customWidth="1"/>
    <col min="5855" max="5855" width="4.7109375" style="56" customWidth="1"/>
    <col min="5856" max="5862" width="8.85546875" style="56" customWidth="1"/>
    <col min="5863" max="6103" width="8.85546875" style="56"/>
    <col min="6104" max="6104" width="5.42578125" style="56" customWidth="1"/>
    <col min="6105" max="6105" width="52.42578125" style="56" customWidth="1"/>
    <col min="6106" max="6106" width="6.7109375" style="56" customWidth="1"/>
    <col min="6107" max="6107" width="5.7109375" style="56" customWidth="1"/>
    <col min="6108" max="6108" width="13.7109375" style="56" customWidth="1"/>
    <col min="6109" max="6109" width="13.5703125" style="56" customWidth="1"/>
    <col min="6110" max="6110" width="0.28515625" style="56" customWidth="1"/>
    <col min="6111" max="6111" width="4.7109375" style="56" customWidth="1"/>
    <col min="6112" max="6118" width="8.85546875" style="56" customWidth="1"/>
    <col min="6119" max="6359" width="8.85546875" style="56"/>
    <col min="6360" max="6360" width="5.42578125" style="56" customWidth="1"/>
    <col min="6361" max="6361" width="52.42578125" style="56" customWidth="1"/>
    <col min="6362" max="6362" width="6.7109375" style="56" customWidth="1"/>
    <col min="6363" max="6363" width="5.7109375" style="56" customWidth="1"/>
    <col min="6364" max="6364" width="13.7109375" style="56" customWidth="1"/>
    <col min="6365" max="6365" width="13.5703125" style="56" customWidth="1"/>
    <col min="6366" max="6366" width="0.28515625" style="56" customWidth="1"/>
    <col min="6367" max="6367" width="4.7109375" style="56" customWidth="1"/>
    <col min="6368" max="6374" width="8.85546875" style="56" customWidth="1"/>
    <col min="6375" max="6615" width="8.85546875" style="56"/>
    <col min="6616" max="6616" width="5.42578125" style="56" customWidth="1"/>
    <col min="6617" max="6617" width="52.42578125" style="56" customWidth="1"/>
    <col min="6618" max="6618" width="6.7109375" style="56" customWidth="1"/>
    <col min="6619" max="6619" width="5.7109375" style="56" customWidth="1"/>
    <col min="6620" max="6620" width="13.7109375" style="56" customWidth="1"/>
    <col min="6621" max="6621" width="13.5703125" style="56" customWidth="1"/>
    <col min="6622" max="6622" width="0.28515625" style="56" customWidth="1"/>
    <col min="6623" max="6623" width="4.7109375" style="56" customWidth="1"/>
    <col min="6624" max="6630" width="8.85546875" style="56" customWidth="1"/>
    <col min="6631" max="6871" width="8.85546875" style="56"/>
    <col min="6872" max="6872" width="5.42578125" style="56" customWidth="1"/>
    <col min="6873" max="6873" width="52.42578125" style="56" customWidth="1"/>
    <col min="6874" max="6874" width="6.7109375" style="56" customWidth="1"/>
    <col min="6875" max="6875" width="5.7109375" style="56" customWidth="1"/>
    <col min="6876" max="6876" width="13.7109375" style="56" customWidth="1"/>
    <col min="6877" max="6877" width="13.5703125" style="56" customWidth="1"/>
    <col min="6878" max="6878" width="0.28515625" style="56" customWidth="1"/>
    <col min="6879" max="6879" width="4.7109375" style="56" customWidth="1"/>
    <col min="6880" max="6886" width="8.85546875" style="56" customWidth="1"/>
    <col min="6887" max="7127" width="8.85546875" style="56"/>
    <col min="7128" max="7128" width="5.42578125" style="56" customWidth="1"/>
    <col min="7129" max="7129" width="52.42578125" style="56" customWidth="1"/>
    <col min="7130" max="7130" width="6.7109375" style="56" customWidth="1"/>
    <col min="7131" max="7131" width="5.7109375" style="56" customWidth="1"/>
    <col min="7132" max="7132" width="13.7109375" style="56" customWidth="1"/>
    <col min="7133" max="7133" width="13.5703125" style="56" customWidth="1"/>
    <col min="7134" max="7134" width="0.28515625" style="56" customWidth="1"/>
    <col min="7135" max="7135" width="4.7109375" style="56" customWidth="1"/>
    <col min="7136" max="7142" width="8.85546875" style="56" customWidth="1"/>
    <col min="7143" max="7383" width="8.85546875" style="56"/>
    <col min="7384" max="7384" width="5.42578125" style="56" customWidth="1"/>
    <col min="7385" max="7385" width="52.42578125" style="56" customWidth="1"/>
    <col min="7386" max="7386" width="6.7109375" style="56" customWidth="1"/>
    <col min="7387" max="7387" width="5.7109375" style="56" customWidth="1"/>
    <col min="7388" max="7388" width="13.7109375" style="56" customWidth="1"/>
    <col min="7389" max="7389" width="13.5703125" style="56" customWidth="1"/>
    <col min="7390" max="7390" width="0.28515625" style="56" customWidth="1"/>
    <col min="7391" max="7391" width="4.7109375" style="56" customWidth="1"/>
    <col min="7392" max="7398" width="8.85546875" style="56" customWidth="1"/>
    <col min="7399" max="7639" width="8.85546875" style="56"/>
    <col min="7640" max="7640" width="5.42578125" style="56" customWidth="1"/>
    <col min="7641" max="7641" width="52.42578125" style="56" customWidth="1"/>
    <col min="7642" max="7642" width="6.7109375" style="56" customWidth="1"/>
    <col min="7643" max="7643" width="5.7109375" style="56" customWidth="1"/>
    <col min="7644" max="7644" width="13.7109375" style="56" customWidth="1"/>
    <col min="7645" max="7645" width="13.5703125" style="56" customWidth="1"/>
    <col min="7646" max="7646" width="0.28515625" style="56" customWidth="1"/>
    <col min="7647" max="7647" width="4.7109375" style="56" customWidth="1"/>
    <col min="7648" max="7654" width="8.85546875" style="56" customWidth="1"/>
    <col min="7655" max="7895" width="8.85546875" style="56"/>
    <col min="7896" max="7896" width="5.42578125" style="56" customWidth="1"/>
    <col min="7897" max="7897" width="52.42578125" style="56" customWidth="1"/>
    <col min="7898" max="7898" width="6.7109375" style="56" customWidth="1"/>
    <col min="7899" max="7899" width="5.7109375" style="56" customWidth="1"/>
    <col min="7900" max="7900" width="13.7109375" style="56" customWidth="1"/>
    <col min="7901" max="7901" width="13.5703125" style="56" customWidth="1"/>
    <col min="7902" max="7902" width="0.28515625" style="56" customWidth="1"/>
    <col min="7903" max="7903" width="4.7109375" style="56" customWidth="1"/>
    <col min="7904" max="7910" width="8.85546875" style="56" customWidth="1"/>
    <col min="7911" max="8151" width="8.85546875" style="56"/>
    <col min="8152" max="8152" width="5.42578125" style="56" customWidth="1"/>
    <col min="8153" max="8153" width="52.42578125" style="56" customWidth="1"/>
    <col min="8154" max="8154" width="6.7109375" style="56" customWidth="1"/>
    <col min="8155" max="8155" width="5.7109375" style="56" customWidth="1"/>
    <col min="8156" max="8156" width="13.7109375" style="56" customWidth="1"/>
    <col min="8157" max="8157" width="13.5703125" style="56" customWidth="1"/>
    <col min="8158" max="8158" width="0.28515625" style="56" customWidth="1"/>
    <col min="8159" max="8159" width="4.7109375" style="56" customWidth="1"/>
    <col min="8160" max="8166" width="8.85546875" style="56" customWidth="1"/>
    <col min="8167" max="8407" width="8.85546875" style="56"/>
    <col min="8408" max="8408" width="5.42578125" style="56" customWidth="1"/>
    <col min="8409" max="8409" width="52.42578125" style="56" customWidth="1"/>
    <col min="8410" max="8410" width="6.7109375" style="56" customWidth="1"/>
    <col min="8411" max="8411" width="5.7109375" style="56" customWidth="1"/>
    <col min="8412" max="8412" width="13.7109375" style="56" customWidth="1"/>
    <col min="8413" max="8413" width="13.5703125" style="56" customWidth="1"/>
    <col min="8414" max="8414" width="0.28515625" style="56" customWidth="1"/>
    <col min="8415" max="8415" width="4.7109375" style="56" customWidth="1"/>
    <col min="8416" max="8422" width="8.85546875" style="56" customWidth="1"/>
    <col min="8423" max="8663" width="8.85546875" style="56"/>
    <col min="8664" max="8664" width="5.42578125" style="56" customWidth="1"/>
    <col min="8665" max="8665" width="52.42578125" style="56" customWidth="1"/>
    <col min="8666" max="8666" width="6.7109375" style="56" customWidth="1"/>
    <col min="8667" max="8667" width="5.7109375" style="56" customWidth="1"/>
    <col min="8668" max="8668" width="13.7109375" style="56" customWidth="1"/>
    <col min="8669" max="8669" width="13.5703125" style="56" customWidth="1"/>
    <col min="8670" max="8670" width="0.28515625" style="56" customWidth="1"/>
    <col min="8671" max="8671" width="4.7109375" style="56" customWidth="1"/>
    <col min="8672" max="8678" width="8.85546875" style="56" customWidth="1"/>
    <col min="8679" max="8919" width="8.85546875" style="56"/>
    <col min="8920" max="8920" width="5.42578125" style="56" customWidth="1"/>
    <col min="8921" max="8921" width="52.42578125" style="56" customWidth="1"/>
    <col min="8922" max="8922" width="6.7109375" style="56" customWidth="1"/>
    <col min="8923" max="8923" width="5.7109375" style="56" customWidth="1"/>
    <col min="8924" max="8924" width="13.7109375" style="56" customWidth="1"/>
    <col min="8925" max="8925" width="13.5703125" style="56" customWidth="1"/>
    <col min="8926" max="8926" width="0.28515625" style="56" customWidth="1"/>
    <col min="8927" max="8927" width="4.7109375" style="56" customWidth="1"/>
    <col min="8928" max="8934" width="8.85546875" style="56" customWidth="1"/>
    <col min="8935" max="9175" width="8.85546875" style="56"/>
    <col min="9176" max="9176" width="5.42578125" style="56" customWidth="1"/>
    <col min="9177" max="9177" width="52.42578125" style="56" customWidth="1"/>
    <col min="9178" max="9178" width="6.7109375" style="56" customWidth="1"/>
    <col min="9179" max="9179" width="5.7109375" style="56" customWidth="1"/>
    <col min="9180" max="9180" width="13.7109375" style="56" customWidth="1"/>
    <col min="9181" max="9181" width="13.5703125" style="56" customWidth="1"/>
    <col min="9182" max="9182" width="0.28515625" style="56" customWidth="1"/>
    <col min="9183" max="9183" width="4.7109375" style="56" customWidth="1"/>
    <col min="9184" max="9190" width="8.85546875" style="56" customWidth="1"/>
    <col min="9191" max="9431" width="8.85546875" style="56"/>
    <col min="9432" max="9432" width="5.42578125" style="56" customWidth="1"/>
    <col min="9433" max="9433" width="52.42578125" style="56" customWidth="1"/>
    <col min="9434" max="9434" width="6.7109375" style="56" customWidth="1"/>
    <col min="9435" max="9435" width="5.7109375" style="56" customWidth="1"/>
    <col min="9436" max="9436" width="13.7109375" style="56" customWidth="1"/>
    <col min="9437" max="9437" width="13.5703125" style="56" customWidth="1"/>
    <col min="9438" max="9438" width="0.28515625" style="56" customWidth="1"/>
    <col min="9439" max="9439" width="4.7109375" style="56" customWidth="1"/>
    <col min="9440" max="9446" width="8.85546875" style="56" customWidth="1"/>
    <col min="9447" max="9687" width="8.85546875" style="56"/>
    <col min="9688" max="9688" width="5.42578125" style="56" customWidth="1"/>
    <col min="9689" max="9689" width="52.42578125" style="56" customWidth="1"/>
    <col min="9690" max="9690" width="6.7109375" style="56" customWidth="1"/>
    <col min="9691" max="9691" width="5.7109375" style="56" customWidth="1"/>
    <col min="9692" max="9692" width="13.7109375" style="56" customWidth="1"/>
    <col min="9693" max="9693" width="13.5703125" style="56" customWidth="1"/>
    <col min="9694" max="9694" width="0.28515625" style="56" customWidth="1"/>
    <col min="9695" max="9695" width="4.7109375" style="56" customWidth="1"/>
    <col min="9696" max="9702" width="8.85546875" style="56" customWidth="1"/>
    <col min="9703" max="9943" width="8.85546875" style="56"/>
    <col min="9944" max="9944" width="5.42578125" style="56" customWidth="1"/>
    <col min="9945" max="9945" width="52.42578125" style="56" customWidth="1"/>
    <col min="9946" max="9946" width="6.7109375" style="56" customWidth="1"/>
    <col min="9947" max="9947" width="5.7109375" style="56" customWidth="1"/>
    <col min="9948" max="9948" width="13.7109375" style="56" customWidth="1"/>
    <col min="9949" max="9949" width="13.5703125" style="56" customWidth="1"/>
    <col min="9950" max="9950" width="0.28515625" style="56" customWidth="1"/>
    <col min="9951" max="9951" width="4.7109375" style="56" customWidth="1"/>
    <col min="9952" max="9958" width="8.85546875" style="56" customWidth="1"/>
    <col min="9959" max="10199" width="8.85546875" style="56"/>
    <col min="10200" max="10200" width="5.42578125" style="56" customWidth="1"/>
    <col min="10201" max="10201" width="52.42578125" style="56" customWidth="1"/>
    <col min="10202" max="10202" width="6.7109375" style="56" customWidth="1"/>
    <col min="10203" max="10203" width="5.7109375" style="56" customWidth="1"/>
    <col min="10204" max="10204" width="13.7109375" style="56" customWidth="1"/>
    <col min="10205" max="10205" width="13.5703125" style="56" customWidth="1"/>
    <col min="10206" max="10206" width="0.28515625" style="56" customWidth="1"/>
    <col min="10207" max="10207" width="4.7109375" style="56" customWidth="1"/>
    <col min="10208" max="10214" width="8.85546875" style="56" customWidth="1"/>
    <col min="10215" max="10455" width="8.85546875" style="56"/>
    <col min="10456" max="10456" width="5.42578125" style="56" customWidth="1"/>
    <col min="10457" max="10457" width="52.42578125" style="56" customWidth="1"/>
    <col min="10458" max="10458" width="6.7109375" style="56" customWidth="1"/>
    <col min="10459" max="10459" width="5.7109375" style="56" customWidth="1"/>
    <col min="10460" max="10460" width="13.7109375" style="56" customWidth="1"/>
    <col min="10461" max="10461" width="13.5703125" style="56" customWidth="1"/>
    <col min="10462" max="10462" width="0.28515625" style="56" customWidth="1"/>
    <col min="10463" max="10463" width="4.7109375" style="56" customWidth="1"/>
    <col min="10464" max="10470" width="8.85546875" style="56" customWidth="1"/>
    <col min="10471" max="10711" width="8.85546875" style="56"/>
    <col min="10712" max="10712" width="5.42578125" style="56" customWidth="1"/>
    <col min="10713" max="10713" width="52.42578125" style="56" customWidth="1"/>
    <col min="10714" max="10714" width="6.7109375" style="56" customWidth="1"/>
    <col min="10715" max="10715" width="5.7109375" style="56" customWidth="1"/>
    <col min="10716" max="10716" width="13.7109375" style="56" customWidth="1"/>
    <col min="10717" max="10717" width="13.5703125" style="56" customWidth="1"/>
    <col min="10718" max="10718" width="0.28515625" style="56" customWidth="1"/>
    <col min="10719" max="10719" width="4.7109375" style="56" customWidth="1"/>
    <col min="10720" max="10726" width="8.85546875" style="56" customWidth="1"/>
    <col min="10727" max="10967" width="8.85546875" style="56"/>
    <col min="10968" max="10968" width="5.42578125" style="56" customWidth="1"/>
    <col min="10969" max="10969" width="52.42578125" style="56" customWidth="1"/>
    <col min="10970" max="10970" width="6.7109375" style="56" customWidth="1"/>
    <col min="10971" max="10971" width="5.7109375" style="56" customWidth="1"/>
    <col min="10972" max="10972" width="13.7109375" style="56" customWidth="1"/>
    <col min="10973" max="10973" width="13.5703125" style="56" customWidth="1"/>
    <col min="10974" max="10974" width="0.28515625" style="56" customWidth="1"/>
    <col min="10975" max="10975" width="4.7109375" style="56" customWidth="1"/>
    <col min="10976" max="10982" width="8.85546875" style="56" customWidth="1"/>
    <col min="10983" max="11223" width="8.85546875" style="56"/>
    <col min="11224" max="11224" width="5.42578125" style="56" customWidth="1"/>
    <col min="11225" max="11225" width="52.42578125" style="56" customWidth="1"/>
    <col min="11226" max="11226" width="6.7109375" style="56" customWidth="1"/>
    <col min="11227" max="11227" width="5.7109375" style="56" customWidth="1"/>
    <col min="11228" max="11228" width="13.7109375" style="56" customWidth="1"/>
    <col min="11229" max="11229" width="13.5703125" style="56" customWidth="1"/>
    <col min="11230" max="11230" width="0.28515625" style="56" customWidth="1"/>
    <col min="11231" max="11231" width="4.7109375" style="56" customWidth="1"/>
    <col min="11232" max="11238" width="8.85546875" style="56" customWidth="1"/>
    <col min="11239" max="11479" width="8.85546875" style="56"/>
    <col min="11480" max="11480" width="5.42578125" style="56" customWidth="1"/>
    <col min="11481" max="11481" width="52.42578125" style="56" customWidth="1"/>
    <col min="11482" max="11482" width="6.7109375" style="56" customWidth="1"/>
    <col min="11483" max="11483" width="5.7109375" style="56" customWidth="1"/>
    <col min="11484" max="11484" width="13.7109375" style="56" customWidth="1"/>
    <col min="11485" max="11485" width="13.5703125" style="56" customWidth="1"/>
    <col min="11486" max="11486" width="0.28515625" style="56" customWidth="1"/>
    <col min="11487" max="11487" width="4.7109375" style="56" customWidth="1"/>
    <col min="11488" max="11494" width="8.85546875" style="56" customWidth="1"/>
    <col min="11495" max="11735" width="8.85546875" style="56"/>
    <col min="11736" max="11736" width="5.42578125" style="56" customWidth="1"/>
    <col min="11737" max="11737" width="52.42578125" style="56" customWidth="1"/>
    <col min="11738" max="11738" width="6.7109375" style="56" customWidth="1"/>
    <col min="11739" max="11739" width="5.7109375" style="56" customWidth="1"/>
    <col min="11740" max="11740" width="13.7109375" style="56" customWidth="1"/>
    <col min="11741" max="11741" width="13.5703125" style="56" customWidth="1"/>
    <col min="11742" max="11742" width="0.28515625" style="56" customWidth="1"/>
    <col min="11743" max="11743" width="4.7109375" style="56" customWidth="1"/>
    <col min="11744" max="11750" width="8.85546875" style="56" customWidth="1"/>
    <col min="11751" max="11991" width="8.85546875" style="56"/>
    <col min="11992" max="11992" width="5.42578125" style="56" customWidth="1"/>
    <col min="11993" max="11993" width="52.42578125" style="56" customWidth="1"/>
    <col min="11994" max="11994" width="6.7109375" style="56" customWidth="1"/>
    <col min="11995" max="11995" width="5.7109375" style="56" customWidth="1"/>
    <col min="11996" max="11996" width="13.7109375" style="56" customWidth="1"/>
    <col min="11997" max="11997" width="13.5703125" style="56" customWidth="1"/>
    <col min="11998" max="11998" width="0.28515625" style="56" customWidth="1"/>
    <col min="11999" max="11999" width="4.7109375" style="56" customWidth="1"/>
    <col min="12000" max="12006" width="8.85546875" style="56" customWidth="1"/>
    <col min="12007" max="12247" width="8.85546875" style="56"/>
    <col min="12248" max="12248" width="5.42578125" style="56" customWidth="1"/>
    <col min="12249" max="12249" width="52.42578125" style="56" customWidth="1"/>
    <col min="12250" max="12250" width="6.7109375" style="56" customWidth="1"/>
    <col min="12251" max="12251" width="5.7109375" style="56" customWidth="1"/>
    <col min="12252" max="12252" width="13.7109375" style="56" customWidth="1"/>
    <col min="12253" max="12253" width="13.5703125" style="56" customWidth="1"/>
    <col min="12254" max="12254" width="0.28515625" style="56" customWidth="1"/>
    <col min="12255" max="12255" width="4.7109375" style="56" customWidth="1"/>
    <col min="12256" max="12262" width="8.85546875" style="56" customWidth="1"/>
    <col min="12263" max="12503" width="8.85546875" style="56"/>
    <col min="12504" max="12504" width="5.42578125" style="56" customWidth="1"/>
    <col min="12505" max="12505" width="52.42578125" style="56" customWidth="1"/>
    <col min="12506" max="12506" width="6.7109375" style="56" customWidth="1"/>
    <col min="12507" max="12507" width="5.7109375" style="56" customWidth="1"/>
    <col min="12508" max="12508" width="13.7109375" style="56" customWidth="1"/>
    <col min="12509" max="12509" width="13.5703125" style="56" customWidth="1"/>
    <col min="12510" max="12510" width="0.28515625" style="56" customWidth="1"/>
    <col min="12511" max="12511" width="4.7109375" style="56" customWidth="1"/>
    <col min="12512" max="12518" width="8.85546875" style="56" customWidth="1"/>
    <col min="12519" max="12759" width="8.85546875" style="56"/>
    <col min="12760" max="12760" width="5.42578125" style="56" customWidth="1"/>
    <col min="12761" max="12761" width="52.42578125" style="56" customWidth="1"/>
    <col min="12762" max="12762" width="6.7109375" style="56" customWidth="1"/>
    <col min="12763" max="12763" width="5.7109375" style="56" customWidth="1"/>
    <col min="12764" max="12764" width="13.7109375" style="56" customWidth="1"/>
    <col min="12765" max="12765" width="13.5703125" style="56" customWidth="1"/>
    <col min="12766" max="12766" width="0.28515625" style="56" customWidth="1"/>
    <col min="12767" max="12767" width="4.7109375" style="56" customWidth="1"/>
    <col min="12768" max="12774" width="8.85546875" style="56" customWidth="1"/>
    <col min="12775" max="13015" width="8.85546875" style="56"/>
    <col min="13016" max="13016" width="5.42578125" style="56" customWidth="1"/>
    <col min="13017" max="13017" width="52.42578125" style="56" customWidth="1"/>
    <col min="13018" max="13018" width="6.7109375" style="56" customWidth="1"/>
    <col min="13019" max="13019" width="5.7109375" style="56" customWidth="1"/>
    <col min="13020" max="13020" width="13.7109375" style="56" customWidth="1"/>
    <col min="13021" max="13021" width="13.5703125" style="56" customWidth="1"/>
    <col min="13022" max="13022" width="0.28515625" style="56" customWidth="1"/>
    <col min="13023" max="13023" width="4.7109375" style="56" customWidth="1"/>
    <col min="13024" max="13030" width="8.85546875" style="56" customWidth="1"/>
    <col min="13031" max="13271" width="8.85546875" style="56"/>
    <col min="13272" max="13272" width="5.42578125" style="56" customWidth="1"/>
    <col min="13273" max="13273" width="52.42578125" style="56" customWidth="1"/>
    <col min="13274" max="13274" width="6.7109375" style="56" customWidth="1"/>
    <col min="13275" max="13275" width="5.7109375" style="56" customWidth="1"/>
    <col min="13276" max="13276" width="13.7109375" style="56" customWidth="1"/>
    <col min="13277" max="13277" width="13.5703125" style="56" customWidth="1"/>
    <col min="13278" max="13278" width="0.28515625" style="56" customWidth="1"/>
    <col min="13279" max="13279" width="4.7109375" style="56" customWidth="1"/>
    <col min="13280" max="13286" width="8.85546875" style="56" customWidth="1"/>
    <col min="13287" max="13527" width="8.85546875" style="56"/>
    <col min="13528" max="13528" width="5.42578125" style="56" customWidth="1"/>
    <col min="13529" max="13529" width="52.42578125" style="56" customWidth="1"/>
    <col min="13530" max="13530" width="6.7109375" style="56" customWidth="1"/>
    <col min="13531" max="13531" width="5.7109375" style="56" customWidth="1"/>
    <col min="13532" max="13532" width="13.7109375" style="56" customWidth="1"/>
    <col min="13533" max="13533" width="13.5703125" style="56" customWidth="1"/>
    <col min="13534" max="13534" width="0.28515625" style="56" customWidth="1"/>
    <col min="13535" max="13535" width="4.7109375" style="56" customWidth="1"/>
    <col min="13536" max="13542" width="8.85546875" style="56" customWidth="1"/>
    <col min="13543" max="13783" width="8.85546875" style="56"/>
    <col min="13784" max="13784" width="5.42578125" style="56" customWidth="1"/>
    <col min="13785" max="13785" width="52.42578125" style="56" customWidth="1"/>
    <col min="13786" max="13786" width="6.7109375" style="56" customWidth="1"/>
    <col min="13787" max="13787" width="5.7109375" style="56" customWidth="1"/>
    <col min="13788" max="13788" width="13.7109375" style="56" customWidth="1"/>
    <col min="13789" max="13789" width="13.5703125" style="56" customWidth="1"/>
    <col min="13790" max="13790" width="0.28515625" style="56" customWidth="1"/>
    <col min="13791" max="13791" width="4.7109375" style="56" customWidth="1"/>
    <col min="13792" max="13798" width="8.85546875" style="56" customWidth="1"/>
    <col min="13799" max="14039" width="8.85546875" style="56"/>
    <col min="14040" max="14040" width="5.42578125" style="56" customWidth="1"/>
    <col min="14041" max="14041" width="52.42578125" style="56" customWidth="1"/>
    <col min="14042" max="14042" width="6.7109375" style="56" customWidth="1"/>
    <col min="14043" max="14043" width="5.7109375" style="56" customWidth="1"/>
    <col min="14044" max="14044" width="13.7109375" style="56" customWidth="1"/>
    <col min="14045" max="14045" width="13.5703125" style="56" customWidth="1"/>
    <col min="14046" max="14046" width="0.28515625" style="56" customWidth="1"/>
    <col min="14047" max="14047" width="4.7109375" style="56" customWidth="1"/>
    <col min="14048" max="14054" width="8.85546875" style="56" customWidth="1"/>
    <col min="14055" max="14295" width="8.85546875" style="56"/>
    <col min="14296" max="14296" width="5.42578125" style="56" customWidth="1"/>
    <col min="14297" max="14297" width="52.42578125" style="56" customWidth="1"/>
    <col min="14298" max="14298" width="6.7109375" style="56" customWidth="1"/>
    <col min="14299" max="14299" width="5.7109375" style="56" customWidth="1"/>
    <col min="14300" max="14300" width="13.7109375" style="56" customWidth="1"/>
    <col min="14301" max="14301" width="13.5703125" style="56" customWidth="1"/>
    <col min="14302" max="14302" width="0.28515625" style="56" customWidth="1"/>
    <col min="14303" max="14303" width="4.7109375" style="56" customWidth="1"/>
    <col min="14304" max="14310" width="8.85546875" style="56" customWidth="1"/>
    <col min="14311" max="14551" width="8.85546875" style="56"/>
    <col min="14552" max="14552" width="5.42578125" style="56" customWidth="1"/>
    <col min="14553" max="14553" width="52.42578125" style="56" customWidth="1"/>
    <col min="14554" max="14554" width="6.7109375" style="56" customWidth="1"/>
    <col min="14555" max="14555" width="5.7109375" style="56" customWidth="1"/>
    <col min="14556" max="14556" width="13.7109375" style="56" customWidth="1"/>
    <col min="14557" max="14557" width="13.5703125" style="56" customWidth="1"/>
    <col min="14558" max="14558" width="0.28515625" style="56" customWidth="1"/>
    <col min="14559" max="14559" width="4.7109375" style="56" customWidth="1"/>
    <col min="14560" max="14566" width="8.85546875" style="56" customWidth="1"/>
    <col min="14567" max="14807" width="8.85546875" style="56"/>
    <col min="14808" max="14808" width="5.42578125" style="56" customWidth="1"/>
    <col min="14809" max="14809" width="52.42578125" style="56" customWidth="1"/>
    <col min="14810" max="14810" width="6.7109375" style="56" customWidth="1"/>
    <col min="14811" max="14811" width="5.7109375" style="56" customWidth="1"/>
    <col min="14812" max="14812" width="13.7109375" style="56" customWidth="1"/>
    <col min="14813" max="14813" width="13.5703125" style="56" customWidth="1"/>
    <col min="14814" max="14814" width="0.28515625" style="56" customWidth="1"/>
    <col min="14815" max="14815" width="4.7109375" style="56" customWidth="1"/>
    <col min="14816" max="14822" width="8.85546875" style="56" customWidth="1"/>
    <col min="14823" max="15063" width="8.85546875" style="56"/>
    <col min="15064" max="15064" width="5.42578125" style="56" customWidth="1"/>
    <col min="15065" max="15065" width="52.42578125" style="56" customWidth="1"/>
    <col min="15066" max="15066" width="6.7109375" style="56" customWidth="1"/>
    <col min="15067" max="15067" width="5.7109375" style="56" customWidth="1"/>
    <col min="15068" max="15068" width="13.7109375" style="56" customWidth="1"/>
    <col min="15069" max="15069" width="13.5703125" style="56" customWidth="1"/>
    <col min="15070" max="15070" width="0.28515625" style="56" customWidth="1"/>
    <col min="15071" max="15071" width="4.7109375" style="56" customWidth="1"/>
    <col min="15072" max="15078" width="8.85546875" style="56" customWidth="1"/>
    <col min="15079" max="15319" width="8.85546875" style="56"/>
    <col min="15320" max="15320" width="5.42578125" style="56" customWidth="1"/>
    <col min="15321" max="15321" width="52.42578125" style="56" customWidth="1"/>
    <col min="15322" max="15322" width="6.7109375" style="56" customWidth="1"/>
    <col min="15323" max="15323" width="5.7109375" style="56" customWidth="1"/>
    <col min="15324" max="15324" width="13.7109375" style="56" customWidth="1"/>
    <col min="15325" max="15325" width="13.5703125" style="56" customWidth="1"/>
    <col min="15326" max="15326" width="0.28515625" style="56" customWidth="1"/>
    <col min="15327" max="15327" width="4.7109375" style="56" customWidth="1"/>
    <col min="15328" max="15334" width="8.85546875" style="56" customWidth="1"/>
    <col min="15335" max="15575" width="8.85546875" style="56"/>
    <col min="15576" max="15576" width="5.42578125" style="56" customWidth="1"/>
    <col min="15577" max="15577" width="52.42578125" style="56" customWidth="1"/>
    <col min="15578" max="15578" width="6.7109375" style="56" customWidth="1"/>
    <col min="15579" max="15579" width="5.7109375" style="56" customWidth="1"/>
    <col min="15580" max="15580" width="13.7109375" style="56" customWidth="1"/>
    <col min="15581" max="15581" width="13.5703125" style="56" customWidth="1"/>
    <col min="15582" max="15582" width="0.28515625" style="56" customWidth="1"/>
    <col min="15583" max="15583" width="4.7109375" style="56" customWidth="1"/>
    <col min="15584" max="15590" width="8.85546875" style="56" customWidth="1"/>
    <col min="15591" max="15831" width="8.85546875" style="56"/>
    <col min="15832" max="15832" width="5.42578125" style="56" customWidth="1"/>
    <col min="15833" max="15833" width="52.42578125" style="56" customWidth="1"/>
    <col min="15834" max="15834" width="6.7109375" style="56" customWidth="1"/>
    <col min="15835" max="15835" width="5.7109375" style="56" customWidth="1"/>
    <col min="15836" max="15836" width="13.7109375" style="56" customWidth="1"/>
    <col min="15837" max="15837" width="13.5703125" style="56" customWidth="1"/>
    <col min="15838" max="15838" width="0.28515625" style="56" customWidth="1"/>
    <col min="15839" max="15839" width="4.7109375" style="56" customWidth="1"/>
    <col min="15840" max="15846" width="8.85546875" style="56" customWidth="1"/>
    <col min="15847" max="16087" width="8.85546875" style="56"/>
    <col min="16088" max="16088" width="5.42578125" style="56" customWidth="1"/>
    <col min="16089" max="16089" width="52.42578125" style="56" customWidth="1"/>
    <col min="16090" max="16090" width="6.7109375" style="56" customWidth="1"/>
    <col min="16091" max="16091" width="5.7109375" style="56" customWidth="1"/>
    <col min="16092" max="16092" width="13.7109375" style="56" customWidth="1"/>
    <col min="16093" max="16093" width="13.5703125" style="56" customWidth="1"/>
    <col min="16094" max="16094" width="0.28515625" style="56" customWidth="1"/>
    <col min="16095" max="16095" width="4.7109375" style="56" customWidth="1"/>
    <col min="16096" max="16102" width="8.85546875" style="56" customWidth="1"/>
    <col min="16103" max="16384" width="8.85546875" style="56"/>
  </cols>
  <sheetData>
    <row r="1" spans="1:2" s="51" customFormat="1">
      <c r="A1" s="49">
        <v>1</v>
      </c>
      <c r="B1" s="50" t="s">
        <v>2193</v>
      </c>
    </row>
    <row r="2" spans="1:2" s="51" customFormat="1" ht="24">
      <c r="A2" s="49">
        <v>2</v>
      </c>
      <c r="B2" s="52" t="s">
        <v>2194</v>
      </c>
    </row>
    <row r="3" spans="1:2" s="51" customFormat="1" ht="24">
      <c r="A3" s="49">
        <v>3</v>
      </c>
      <c r="B3" s="52" t="s">
        <v>2195</v>
      </c>
    </row>
    <row r="4" spans="1:2" s="51" customFormat="1" ht="24">
      <c r="A4" s="49">
        <v>4</v>
      </c>
      <c r="B4" s="52" t="s">
        <v>2196</v>
      </c>
    </row>
    <row r="5" spans="1:2" s="51" customFormat="1" ht="24">
      <c r="A5" s="49">
        <v>5</v>
      </c>
      <c r="B5" s="52" t="s">
        <v>2197</v>
      </c>
    </row>
    <row r="6" spans="1:2" s="51" customFormat="1" ht="24">
      <c r="A6" s="49">
        <v>6</v>
      </c>
      <c r="B6" s="52" t="s">
        <v>2198</v>
      </c>
    </row>
    <row r="7" spans="1:2" s="55" customFormat="1">
      <c r="A7" s="53">
        <v>7</v>
      </c>
      <c r="B7" s="54" t="s">
        <v>2199</v>
      </c>
    </row>
    <row r="8" spans="1:2" s="55" customFormat="1">
      <c r="A8" s="53"/>
      <c r="B8" s="54" t="s">
        <v>2200</v>
      </c>
    </row>
    <row r="9" spans="1:2" s="55" customFormat="1">
      <c r="A9" s="49"/>
      <c r="B9" s="52" t="s">
        <v>2201</v>
      </c>
    </row>
    <row r="10" spans="1:2" s="55" customFormat="1" ht="36">
      <c r="A10" s="49"/>
      <c r="B10" s="52" t="s">
        <v>2202</v>
      </c>
    </row>
    <row r="11" spans="1:2" s="55" customFormat="1" ht="48">
      <c r="A11" s="49"/>
      <c r="B11" s="52" t="s">
        <v>2203</v>
      </c>
    </row>
    <row r="12" spans="1:2" s="55" customFormat="1" ht="48">
      <c r="A12" s="49"/>
      <c r="B12" s="52" t="s">
        <v>2204</v>
      </c>
    </row>
    <row r="13" spans="1:2" s="55" customFormat="1">
      <c r="A13" s="49"/>
      <c r="B13" s="52" t="s">
        <v>2205</v>
      </c>
    </row>
    <row r="14" spans="1:2" s="55" customFormat="1" ht="36">
      <c r="A14" s="49"/>
      <c r="B14" s="52" t="s">
        <v>2206</v>
      </c>
    </row>
    <row r="15" spans="1:2" s="55" customFormat="1" ht="60">
      <c r="A15" s="49"/>
      <c r="B15" s="52" t="s">
        <v>2207</v>
      </c>
    </row>
    <row r="16" spans="1:2" s="55" customFormat="1" ht="24">
      <c r="A16" s="49">
        <v>8</v>
      </c>
      <c r="B16" s="52" t="s">
        <v>2208</v>
      </c>
    </row>
    <row r="17" spans="1:2" s="55" customFormat="1" ht="24">
      <c r="A17" s="49">
        <v>9</v>
      </c>
      <c r="B17" s="52" t="s">
        <v>2209</v>
      </c>
    </row>
    <row r="18" spans="1:2" s="55" customFormat="1" ht="24">
      <c r="A18" s="49">
        <v>10</v>
      </c>
      <c r="B18" s="52" t="s">
        <v>2210</v>
      </c>
    </row>
    <row r="19" spans="1:2" s="55" customFormat="1" ht="36">
      <c r="A19" s="49">
        <v>11</v>
      </c>
      <c r="B19" s="52" t="s">
        <v>2211</v>
      </c>
    </row>
    <row r="20" spans="1:2" s="55" customFormat="1" ht="36">
      <c r="A20" s="49">
        <v>12</v>
      </c>
      <c r="B20" s="52" t="s">
        <v>2212</v>
      </c>
    </row>
    <row r="21" spans="1:2" s="55" customFormat="1" ht="24">
      <c r="A21" s="49">
        <v>13</v>
      </c>
      <c r="B21" s="52" t="s">
        <v>2213</v>
      </c>
    </row>
    <row r="22" spans="1:2" s="55" customFormat="1" ht="24">
      <c r="A22" s="49">
        <v>14</v>
      </c>
      <c r="B22" s="52" t="s">
        <v>2214</v>
      </c>
    </row>
    <row r="23" spans="1:2" s="55" customFormat="1" ht="48">
      <c r="A23" s="49">
        <v>15</v>
      </c>
      <c r="B23" s="52" t="s">
        <v>2215</v>
      </c>
    </row>
    <row r="24" spans="1:2" s="55" customFormat="1" ht="84">
      <c r="A24" s="49">
        <v>16</v>
      </c>
      <c r="B24" s="52" t="s">
        <v>2216</v>
      </c>
    </row>
    <row r="25" spans="1:2" s="55" customFormat="1">
      <c r="A25" s="49">
        <v>17</v>
      </c>
      <c r="B25" s="52" t="s">
        <v>2217</v>
      </c>
    </row>
    <row r="26" spans="1:2" s="55" customFormat="1">
      <c r="A26" s="49"/>
      <c r="B26" s="52" t="s">
        <v>2218</v>
      </c>
    </row>
    <row r="27" spans="1:2" s="55" customFormat="1">
      <c r="A27" s="49"/>
      <c r="B27" s="52" t="s">
        <v>2219</v>
      </c>
    </row>
    <row r="28" spans="1:2" s="55" customFormat="1">
      <c r="A28" s="49"/>
      <c r="B28" s="52" t="s">
        <v>2220</v>
      </c>
    </row>
    <row r="29" spans="1:2" s="55" customFormat="1">
      <c r="A29" s="49"/>
      <c r="B29" s="50" t="s">
        <v>2221</v>
      </c>
    </row>
    <row r="30" spans="1:2" s="55" customFormat="1">
      <c r="A30" s="49"/>
      <c r="B30" s="52" t="s">
        <v>2222</v>
      </c>
    </row>
    <row r="31" spans="1:2" s="55" customFormat="1">
      <c r="A31" s="49"/>
      <c r="B31" s="50" t="s">
        <v>2223</v>
      </c>
    </row>
    <row r="32" spans="1:2" s="55" customFormat="1" ht="48">
      <c r="A32" s="49">
        <v>18</v>
      </c>
      <c r="B32" s="52" t="s">
        <v>2224</v>
      </c>
    </row>
    <row r="33" spans="1:2" s="55" customFormat="1" ht="60">
      <c r="A33" s="49">
        <v>19</v>
      </c>
      <c r="B33" s="52" t="s">
        <v>2225</v>
      </c>
    </row>
    <row r="34" spans="1:2" s="55" customFormat="1" ht="24">
      <c r="A34" s="49">
        <v>20</v>
      </c>
      <c r="B34" s="52" t="s">
        <v>2226</v>
      </c>
    </row>
    <row r="35" spans="1:2">
      <c r="A35" s="49">
        <v>21</v>
      </c>
      <c r="B35" s="52" t="s">
        <v>2227</v>
      </c>
    </row>
    <row r="36" spans="1:2">
      <c r="A36" s="49">
        <v>22</v>
      </c>
      <c r="B36" s="52" t="s">
        <v>2228</v>
      </c>
    </row>
    <row r="37" spans="1:2">
      <c r="B37" s="52" t="s">
        <v>2229</v>
      </c>
    </row>
    <row r="38" spans="1:2">
      <c r="B38" s="52" t="s">
        <v>2230</v>
      </c>
    </row>
    <row r="39" spans="1:2">
      <c r="B39" s="52" t="s">
        <v>2231</v>
      </c>
    </row>
    <row r="40" spans="1:2">
      <c r="B40" s="52" t="s">
        <v>2232</v>
      </c>
    </row>
    <row r="41" spans="1:2">
      <c r="B41" s="52" t="s">
        <v>2233</v>
      </c>
    </row>
    <row r="42" spans="1:2" ht="40.15" customHeight="1">
      <c r="B42" s="52" t="s">
        <v>2234</v>
      </c>
    </row>
  </sheetData>
  <sheetProtection algorithmName="SHA-512" hashValue="UbJpM9uOa2FkEx5iOKHAMDO4VG9+3d8yDeerHuMbmJ7Y5CfP3UO1gcqbgfSQolyaQUVp2wlOQAZPZUKC1m/mDA==" saltValue="Tx+w1jZRdgV5XOLjrBqcIg==" spinCount="100000" sheet="1" objects="1" scenarios="1"/>
  <pageMargins left="0.7" right="0.7" top="0.75" bottom="0.75" header="0.3" footer="0.3"/>
  <pageSetup paperSize="9" orientation="portrait" verticalDpi="1200" r:id="rId1"/>
  <headerFooter>
    <oddHeader xml:space="preserve">&amp;LInvestitor: Hrvatski institut za povijest&amp;CTroškovnik - GVH
&amp;Rdatum:
lipanj 2025.
</oddHeader>
    <oddFooter xml:space="preserve">&amp;CGrađevina:
Palača bogoštovlja i nastave&amp;R&amp;8str.: &amp;P od &amp;N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L901"/>
  <sheetViews>
    <sheetView zoomScale="130" zoomScaleNormal="130" zoomScaleSheetLayoutView="175" zoomScalePageLayoutView="130" workbookViewId="0">
      <selection activeCell="D4" sqref="D4"/>
    </sheetView>
  </sheetViews>
  <sheetFormatPr defaultRowHeight="15"/>
  <cols>
    <col min="1" max="1" width="5" style="1130" customWidth="1"/>
    <col min="2" max="2" width="44.7109375" style="1136" customWidth="1"/>
    <col min="3" max="3" width="6.28515625" style="1136" customWidth="1"/>
    <col min="4" max="4" width="8.7109375" style="1136" customWidth="1"/>
    <col min="5" max="5" width="11.28515625" style="1136" customWidth="1"/>
    <col min="6" max="6" width="13.5703125" style="1136" customWidth="1"/>
    <col min="7" max="9" width="9.140625" style="56"/>
    <col min="10" max="10" width="54.28515625" style="56" customWidth="1"/>
    <col min="11" max="16384" width="9.140625" style="56"/>
  </cols>
  <sheetData>
    <row r="1" spans="1:10">
      <c r="A1" s="1112">
        <v>1</v>
      </c>
      <c r="B1" s="1113" t="s">
        <v>2235</v>
      </c>
      <c r="C1" s="1114"/>
      <c r="D1" s="1699"/>
      <c r="E1" s="1700"/>
      <c r="F1" s="1115"/>
      <c r="G1" s="1116"/>
      <c r="H1" s="1116"/>
      <c r="I1" s="1117"/>
      <c r="J1" s="1118"/>
    </row>
    <row r="2" spans="1:10" ht="15.75" thickBot="1">
      <c r="A2" s="1119" t="s">
        <v>2236</v>
      </c>
      <c r="B2" s="1120" t="s">
        <v>101</v>
      </c>
      <c r="C2" s="1120" t="s">
        <v>2237</v>
      </c>
      <c r="D2" s="1121" t="s">
        <v>2238</v>
      </c>
      <c r="E2" s="1122" t="s">
        <v>2239</v>
      </c>
      <c r="F2" s="1123" t="s">
        <v>2240</v>
      </c>
      <c r="G2" s="1124"/>
      <c r="H2" s="1124"/>
      <c r="I2" s="1125"/>
      <c r="J2" s="1126"/>
    </row>
    <row r="3" spans="1:10" ht="15.75" thickBot="1">
      <c r="A3" s="1127">
        <f>A1+0.1</f>
        <v>1.1000000000000001</v>
      </c>
      <c r="B3" s="1128" t="s">
        <v>2241</v>
      </c>
      <c r="C3" s="1128"/>
      <c r="D3" s="1128"/>
      <c r="E3" s="1128"/>
      <c r="F3" s="1129"/>
    </row>
    <row r="4" spans="1:10" s="1136" customFormat="1" ht="101.25">
      <c r="A4" s="1130">
        <f>A3+0.001</f>
        <v>1.101</v>
      </c>
      <c r="B4" s="1131" t="s">
        <v>2242</v>
      </c>
      <c r="C4" s="1132" t="s">
        <v>2243</v>
      </c>
      <c r="D4" s="1133">
        <v>1</v>
      </c>
      <c r="E4" s="1254"/>
      <c r="F4" s="1135">
        <f>E4*D4</f>
        <v>0</v>
      </c>
    </row>
    <row r="5" spans="1:10" s="1136" customFormat="1" ht="11.25">
      <c r="A5" s="1130"/>
      <c r="B5" s="1137"/>
      <c r="C5" s="1132"/>
      <c r="D5" s="1133"/>
      <c r="E5" s="1254"/>
      <c r="F5" s="1135"/>
    </row>
    <row r="6" spans="1:10" s="1136" customFormat="1" ht="78.75">
      <c r="A6" s="1130">
        <f>A4+0.001</f>
        <v>1.1020000000000001</v>
      </c>
      <c r="B6" s="1131" t="s">
        <v>2244</v>
      </c>
      <c r="C6" s="1132"/>
      <c r="D6" s="1133"/>
      <c r="E6" s="1254"/>
      <c r="F6" s="1135"/>
    </row>
    <row r="7" spans="1:10" s="1136" customFormat="1" ht="11.25">
      <c r="A7" s="1130"/>
      <c r="B7" s="1137" t="s">
        <v>2245</v>
      </c>
      <c r="C7" s="1132" t="s">
        <v>34</v>
      </c>
      <c r="D7" s="1133">
        <v>7</v>
      </c>
      <c r="E7" s="1254"/>
      <c r="F7" s="1135">
        <f>E7*D7</f>
        <v>0</v>
      </c>
    </row>
    <row r="8" spans="1:10" s="1136" customFormat="1" ht="11.25">
      <c r="A8" s="1130"/>
      <c r="B8" s="1137" t="s">
        <v>2246</v>
      </c>
      <c r="C8" s="1132" t="s">
        <v>34</v>
      </c>
      <c r="D8" s="1133">
        <v>4</v>
      </c>
      <c r="E8" s="1254"/>
      <c r="F8" s="1135">
        <f t="shared" ref="F8:F9" si="0">E8*D8</f>
        <v>0</v>
      </c>
    </row>
    <row r="9" spans="1:10" s="1136" customFormat="1" ht="11.25">
      <c r="A9" s="1130"/>
      <c r="B9" s="1137" t="s">
        <v>2247</v>
      </c>
      <c r="C9" s="1132" t="s">
        <v>34</v>
      </c>
      <c r="D9" s="1133">
        <v>1</v>
      </c>
      <c r="E9" s="1254"/>
      <c r="F9" s="1135">
        <f t="shared" si="0"/>
        <v>0</v>
      </c>
    </row>
    <row r="10" spans="1:10" s="1136" customFormat="1" ht="11.25">
      <c r="A10" s="1130"/>
      <c r="B10" s="1137"/>
      <c r="C10" s="1132"/>
      <c r="D10" s="1133"/>
      <c r="E10" s="1254"/>
      <c r="F10" s="1135"/>
    </row>
    <row r="11" spans="1:10" s="1136" customFormat="1" ht="11.25">
      <c r="A11" s="1130">
        <f>A6+0.001</f>
        <v>1.103</v>
      </c>
      <c r="B11" s="1137" t="s">
        <v>2248</v>
      </c>
      <c r="C11" s="1132"/>
      <c r="D11" s="1133"/>
      <c r="E11" s="1254"/>
      <c r="F11" s="1135"/>
    </row>
    <row r="12" spans="1:10" s="1136" customFormat="1" ht="11.25">
      <c r="A12" s="1130"/>
      <c r="B12" s="1137" t="s">
        <v>2249</v>
      </c>
      <c r="C12" s="1132" t="s">
        <v>34</v>
      </c>
      <c r="D12" s="1133">
        <v>3</v>
      </c>
      <c r="E12" s="1254"/>
      <c r="F12" s="1135">
        <f>E12*D12</f>
        <v>0</v>
      </c>
    </row>
    <row r="13" spans="1:10" s="1136" customFormat="1" ht="11.25">
      <c r="A13" s="1130"/>
      <c r="B13" s="1137"/>
      <c r="C13" s="1132"/>
      <c r="D13" s="1133"/>
      <c r="E13" s="1254"/>
      <c r="F13" s="1135"/>
    </row>
    <row r="14" spans="1:10" s="1136" customFormat="1" ht="33.75">
      <c r="A14" s="1130">
        <f>A11+0.001</f>
        <v>1.1040000000000001</v>
      </c>
      <c r="B14" s="1138" t="s">
        <v>2250</v>
      </c>
      <c r="C14" s="1132" t="s">
        <v>1160</v>
      </c>
      <c r="D14" s="1133">
        <v>60</v>
      </c>
      <c r="E14" s="1254"/>
      <c r="F14" s="1135">
        <f>E14*D14</f>
        <v>0</v>
      </c>
    </row>
    <row r="15" spans="1:10" s="1136" customFormat="1" ht="11.25">
      <c r="A15" s="1130"/>
      <c r="B15" s="1137"/>
      <c r="C15" s="1132"/>
      <c r="D15" s="1133"/>
      <c r="E15" s="1254"/>
      <c r="F15" s="1135"/>
    </row>
    <row r="16" spans="1:10" s="1136" customFormat="1" ht="101.25">
      <c r="A16" s="1130">
        <f>A14+0.001</f>
        <v>1.105</v>
      </c>
      <c r="B16" s="1138" t="s">
        <v>2251</v>
      </c>
      <c r="C16" s="1132" t="s">
        <v>2243</v>
      </c>
      <c r="D16" s="1133">
        <v>1</v>
      </c>
      <c r="E16" s="1254"/>
      <c r="F16" s="1135">
        <f>E16*D16</f>
        <v>0</v>
      </c>
    </row>
    <row r="17" spans="1:11" s="1136" customFormat="1" ht="11.25">
      <c r="A17" s="1130"/>
      <c r="B17" s="1138"/>
      <c r="C17" s="1132"/>
      <c r="D17" s="1133"/>
      <c r="E17" s="1254"/>
      <c r="F17" s="1135"/>
    </row>
    <row r="18" spans="1:11" s="1136" customFormat="1" ht="11.25">
      <c r="A18" s="1130"/>
      <c r="B18" s="1138" t="s">
        <v>2252</v>
      </c>
      <c r="C18" s="1132"/>
      <c r="D18" s="1133"/>
      <c r="E18" s="1254"/>
      <c r="F18" s="1135"/>
    </row>
    <row r="19" spans="1:11" s="1136" customFormat="1" ht="45">
      <c r="A19" s="1130">
        <f>A16+0.001</f>
        <v>1.1060000000000001</v>
      </c>
      <c r="B19" s="1139" t="s">
        <v>2253</v>
      </c>
      <c r="C19" s="1132" t="s">
        <v>2243</v>
      </c>
      <c r="D19" s="1133">
        <v>1</v>
      </c>
      <c r="E19" s="1254"/>
      <c r="F19" s="1135">
        <f>E19*D19</f>
        <v>0</v>
      </c>
    </row>
    <row r="20" spans="1:11" s="1136" customFormat="1" ht="33.75">
      <c r="A20" s="1130"/>
      <c r="B20" s="1139" t="s">
        <v>2254</v>
      </c>
      <c r="C20" s="1132"/>
      <c r="D20" s="1140"/>
      <c r="E20" s="1254"/>
      <c r="F20" s="1135"/>
      <c r="H20" s="1139"/>
      <c r="I20" s="1141"/>
      <c r="J20" s="1140"/>
      <c r="K20" s="1134"/>
    </row>
    <row r="21" spans="1:11" s="1136" customFormat="1" ht="11.25">
      <c r="A21" s="1130">
        <f>A19+0.001</f>
        <v>1.107</v>
      </c>
      <c r="B21" s="1139" t="s">
        <v>2255</v>
      </c>
      <c r="C21" s="1132" t="s">
        <v>34</v>
      </c>
      <c r="D21" s="1140">
        <v>2</v>
      </c>
      <c r="E21" s="1254"/>
      <c r="F21" s="1135">
        <f>E21*D21</f>
        <v>0</v>
      </c>
      <c r="H21" s="1139"/>
      <c r="I21" s="1141"/>
      <c r="J21" s="1140"/>
      <c r="K21" s="1134"/>
    </row>
    <row r="22" spans="1:11" s="1136" customFormat="1" ht="11.25">
      <c r="A22" s="1130">
        <f>A21+0.001</f>
        <v>1.1080000000000001</v>
      </c>
      <c r="B22" s="1139" t="s">
        <v>2256</v>
      </c>
      <c r="C22" s="1132" t="s">
        <v>34</v>
      </c>
      <c r="D22" s="1140">
        <v>2</v>
      </c>
      <c r="E22" s="1254"/>
      <c r="F22" s="1135">
        <f>E22*D22</f>
        <v>0</v>
      </c>
      <c r="H22" s="1139"/>
      <c r="I22" s="1141"/>
      <c r="J22" s="1140"/>
      <c r="K22" s="1134"/>
    </row>
    <row r="23" spans="1:11" s="1136" customFormat="1" ht="11.25">
      <c r="A23" s="1130">
        <f>A22+0.001</f>
        <v>1.109</v>
      </c>
      <c r="B23" s="1139" t="s">
        <v>2257</v>
      </c>
      <c r="C23" s="1132" t="s">
        <v>34</v>
      </c>
      <c r="D23" s="1140">
        <v>3</v>
      </c>
      <c r="E23" s="1254"/>
      <c r="F23" s="1135">
        <f>E23*D23</f>
        <v>0</v>
      </c>
      <c r="H23" s="1139"/>
      <c r="I23" s="1141"/>
      <c r="J23" s="1140"/>
      <c r="K23" s="1134"/>
    </row>
    <row r="24" spans="1:11" s="1136" customFormat="1" ht="11.25">
      <c r="A24" s="1130"/>
      <c r="B24" s="1139" t="s">
        <v>2258</v>
      </c>
      <c r="C24" s="1132"/>
      <c r="D24" s="1140"/>
      <c r="E24" s="1254"/>
      <c r="F24" s="1135"/>
      <c r="H24" s="1139"/>
      <c r="I24" s="1141"/>
      <c r="J24" s="1140"/>
      <c r="K24" s="1134"/>
    </row>
    <row r="25" spans="1:11" s="1136" customFormat="1" ht="11.25">
      <c r="A25" s="1130">
        <f>A23+0.001</f>
        <v>1.1100000000000001</v>
      </c>
      <c r="B25" s="1139" t="s">
        <v>2256</v>
      </c>
      <c r="C25" s="1132" t="s">
        <v>34</v>
      </c>
      <c r="D25" s="1140">
        <v>1</v>
      </c>
      <c r="E25" s="1254"/>
      <c r="F25" s="1135">
        <f>E25*D25</f>
        <v>0</v>
      </c>
      <c r="H25" s="1139"/>
      <c r="I25" s="1141"/>
      <c r="J25" s="1140"/>
      <c r="K25" s="1134"/>
    </row>
    <row r="26" spans="1:11" s="1136" customFormat="1" ht="11.25">
      <c r="A26" s="1130">
        <f>A25+0.001</f>
        <v>1.111</v>
      </c>
      <c r="B26" s="1139" t="s">
        <v>2257</v>
      </c>
      <c r="C26" s="1132" t="s">
        <v>34</v>
      </c>
      <c r="D26" s="1140">
        <v>3</v>
      </c>
      <c r="E26" s="1254"/>
      <c r="F26" s="1135">
        <f>E26*D26</f>
        <v>0</v>
      </c>
      <c r="H26" s="1139"/>
      <c r="I26" s="1141"/>
      <c r="J26" s="1140"/>
      <c r="K26" s="1134"/>
    </row>
    <row r="27" spans="1:11" s="1136" customFormat="1" ht="11.25">
      <c r="A27" s="1130"/>
      <c r="B27" s="1139" t="s">
        <v>2259</v>
      </c>
      <c r="C27" s="1132"/>
      <c r="D27" s="1140"/>
      <c r="E27" s="1254"/>
      <c r="F27" s="1135"/>
      <c r="H27" s="1139"/>
      <c r="I27" s="1141"/>
      <c r="J27" s="1140"/>
      <c r="K27" s="1134"/>
    </row>
    <row r="28" spans="1:11" s="1136" customFormat="1" ht="11.25">
      <c r="A28" s="1130">
        <f>A26+0.001</f>
        <v>1.1120000000000001</v>
      </c>
      <c r="B28" s="1139" t="s">
        <v>2256</v>
      </c>
      <c r="C28" s="1132" t="s">
        <v>34</v>
      </c>
      <c r="D28" s="1140">
        <v>1</v>
      </c>
      <c r="E28" s="1254"/>
      <c r="F28" s="1135">
        <f>E28*D28</f>
        <v>0</v>
      </c>
      <c r="H28" s="1139"/>
      <c r="I28" s="1141"/>
      <c r="J28" s="1140"/>
      <c r="K28" s="1134"/>
    </row>
    <row r="29" spans="1:11" s="1136" customFormat="1" ht="11.25">
      <c r="A29" s="1130">
        <f>A28+0.001</f>
        <v>1.113</v>
      </c>
      <c r="B29" s="1139" t="s">
        <v>2257</v>
      </c>
      <c r="C29" s="1132" t="s">
        <v>34</v>
      </c>
      <c r="D29" s="1140">
        <v>2</v>
      </c>
      <c r="E29" s="1254"/>
      <c r="F29" s="1135">
        <f>E29*D29</f>
        <v>0</v>
      </c>
      <c r="H29" s="1139"/>
      <c r="I29" s="1141"/>
      <c r="J29" s="1140"/>
      <c r="K29" s="1134"/>
    </row>
    <row r="30" spans="1:11" s="1136" customFormat="1" ht="11.25">
      <c r="A30" s="1130"/>
      <c r="B30" s="1138" t="s">
        <v>2260</v>
      </c>
      <c r="C30" s="1132"/>
      <c r="D30" s="1133"/>
      <c r="E30" s="1254"/>
      <c r="F30" s="1135"/>
      <c r="H30" s="1139"/>
      <c r="I30" s="1141"/>
      <c r="J30" s="1140"/>
      <c r="K30" s="1134"/>
    </row>
    <row r="31" spans="1:11" s="1136" customFormat="1" ht="11.25">
      <c r="A31" s="1130">
        <f>A29+0.001</f>
        <v>1.1140000000000001</v>
      </c>
      <c r="B31" s="1138" t="s">
        <v>2261</v>
      </c>
      <c r="C31" s="1132" t="s">
        <v>34</v>
      </c>
      <c r="D31" s="1140">
        <v>8</v>
      </c>
      <c r="E31" s="1254"/>
      <c r="F31" s="1135">
        <f>E31*D31</f>
        <v>0</v>
      </c>
      <c r="H31" s="1139"/>
      <c r="I31" s="1141"/>
      <c r="J31" s="1140"/>
      <c r="K31" s="1134"/>
    </row>
    <row r="32" spans="1:11" s="1136" customFormat="1" ht="11.25">
      <c r="A32" s="1130">
        <f>A31+0.001</f>
        <v>1.115</v>
      </c>
      <c r="B32" s="1138" t="s">
        <v>2262</v>
      </c>
      <c r="C32" s="1132" t="s">
        <v>34</v>
      </c>
      <c r="D32" s="1140">
        <v>3</v>
      </c>
      <c r="E32" s="1254"/>
      <c r="F32" s="1135">
        <f>E32*D32</f>
        <v>0</v>
      </c>
      <c r="H32" s="1139"/>
      <c r="I32" s="1141"/>
      <c r="J32" s="1140"/>
      <c r="K32" s="1134"/>
    </row>
    <row r="33" spans="1:11" s="1136" customFormat="1" ht="11.25">
      <c r="A33" s="1130"/>
      <c r="B33" s="1137"/>
      <c r="C33" s="1132"/>
      <c r="D33" s="1133"/>
      <c r="E33" s="1254"/>
      <c r="F33" s="1135"/>
      <c r="H33" s="1139"/>
      <c r="I33" s="1141"/>
      <c r="J33" s="1140"/>
      <c r="K33" s="1134"/>
    </row>
    <row r="34" spans="1:11" s="1136" customFormat="1" ht="78.75">
      <c r="A34" s="1130">
        <f>A32+0.001</f>
        <v>1.1160000000000001</v>
      </c>
      <c r="B34" s="1137" t="s">
        <v>2263</v>
      </c>
      <c r="C34" s="1132" t="s">
        <v>2243</v>
      </c>
      <c r="D34" s="1133">
        <v>1</v>
      </c>
      <c r="E34" s="1254"/>
      <c r="F34" s="1135">
        <f>E34*D34</f>
        <v>0</v>
      </c>
      <c r="H34" s="1139"/>
      <c r="I34" s="1141"/>
      <c r="J34" s="1140"/>
      <c r="K34" s="1134"/>
    </row>
    <row r="35" spans="1:11" s="1136" customFormat="1" ht="11.25">
      <c r="A35" s="1130"/>
      <c r="B35" s="1137"/>
      <c r="C35" s="1132"/>
      <c r="D35" s="1133"/>
      <c r="E35" s="1254"/>
      <c r="F35" s="1135"/>
      <c r="H35" s="1139"/>
      <c r="I35" s="1141"/>
      <c r="J35" s="1140"/>
      <c r="K35" s="1134"/>
    </row>
    <row r="36" spans="1:11" s="1136" customFormat="1" ht="191.25">
      <c r="A36" s="1130">
        <f>A34+0.001</f>
        <v>1.117</v>
      </c>
      <c r="B36" s="1137" t="s">
        <v>2264</v>
      </c>
      <c r="C36" s="1132"/>
      <c r="D36" s="1133"/>
      <c r="E36" s="1254"/>
      <c r="F36" s="1135"/>
      <c r="H36" s="1139"/>
      <c r="I36" s="1141"/>
      <c r="J36" s="1140"/>
      <c r="K36" s="1134"/>
    </row>
    <row r="37" spans="1:11" s="1136" customFormat="1" ht="11.25">
      <c r="A37" s="1130"/>
      <c r="B37" s="1137" t="s">
        <v>2265</v>
      </c>
      <c r="C37" s="1132"/>
      <c r="D37" s="1133"/>
      <c r="E37" s="1254"/>
      <c r="F37" s="1135"/>
      <c r="H37" s="1139"/>
      <c r="I37" s="1141"/>
      <c r="J37" s="1140"/>
      <c r="K37" s="1134"/>
    </row>
    <row r="38" spans="1:11" s="1136" customFormat="1" ht="11.25">
      <c r="A38" s="1130"/>
      <c r="B38" s="1142">
        <v>10</v>
      </c>
      <c r="C38" s="1142" t="s">
        <v>2243</v>
      </c>
      <c r="D38" s="1143">
        <v>2</v>
      </c>
      <c r="E38" s="1255"/>
      <c r="F38" s="1135">
        <f t="shared" ref="F38:F45" si="1">E38*D38</f>
        <v>0</v>
      </c>
    </row>
    <row r="39" spans="1:11" s="1136" customFormat="1" ht="11.25">
      <c r="A39" s="1130"/>
      <c r="B39" s="1142">
        <v>13</v>
      </c>
      <c r="C39" s="1142" t="s">
        <v>2243</v>
      </c>
      <c r="D39" s="1143">
        <v>1</v>
      </c>
      <c r="E39" s="1255"/>
      <c r="F39" s="1135">
        <f t="shared" si="1"/>
        <v>0</v>
      </c>
    </row>
    <row r="40" spans="1:11" s="1136" customFormat="1" ht="11.25">
      <c r="A40" s="1130"/>
      <c r="B40" s="1142">
        <v>15</v>
      </c>
      <c r="C40" s="1142" t="s">
        <v>2243</v>
      </c>
      <c r="D40" s="1143">
        <v>2</v>
      </c>
      <c r="E40" s="1255"/>
      <c r="F40" s="1135">
        <f t="shared" si="1"/>
        <v>0</v>
      </c>
    </row>
    <row r="41" spans="1:11" s="1136" customFormat="1" ht="11.25">
      <c r="A41" s="1130"/>
      <c r="B41" s="1142">
        <v>17</v>
      </c>
      <c r="C41" s="1142" t="s">
        <v>2243</v>
      </c>
      <c r="D41" s="1143">
        <v>1</v>
      </c>
      <c r="E41" s="1255"/>
      <c r="F41" s="1135">
        <f t="shared" si="1"/>
        <v>0</v>
      </c>
    </row>
    <row r="42" spans="1:11" s="1136" customFormat="1" ht="11.25">
      <c r="A42" s="1130"/>
      <c r="B42" s="1142">
        <v>20</v>
      </c>
      <c r="C42" s="1142" t="s">
        <v>2243</v>
      </c>
      <c r="D42" s="1143">
        <v>6</v>
      </c>
      <c r="E42" s="1255"/>
      <c r="F42" s="1135">
        <f t="shared" si="1"/>
        <v>0</v>
      </c>
    </row>
    <row r="43" spans="1:11" s="1136" customFormat="1" ht="11.25">
      <c r="A43" s="1130"/>
      <c r="B43" s="1142">
        <v>21</v>
      </c>
      <c r="C43" s="1142" t="s">
        <v>2243</v>
      </c>
      <c r="D43" s="1143">
        <v>1</v>
      </c>
      <c r="E43" s="1255"/>
      <c r="F43" s="1135">
        <f t="shared" si="1"/>
        <v>0</v>
      </c>
    </row>
    <row r="44" spans="1:11" s="1136" customFormat="1" ht="11.25">
      <c r="A44" s="1130"/>
      <c r="B44" s="1142">
        <v>24</v>
      </c>
      <c r="C44" s="1142" t="s">
        <v>2243</v>
      </c>
      <c r="D44" s="1143">
        <v>1</v>
      </c>
      <c r="E44" s="1255"/>
      <c r="F44" s="1135">
        <f t="shared" si="1"/>
        <v>0</v>
      </c>
    </row>
    <row r="45" spans="1:11" s="1136" customFormat="1" ht="11.25">
      <c r="A45" s="1130"/>
      <c r="B45" s="1142">
        <v>25</v>
      </c>
      <c r="C45" s="1142" t="s">
        <v>2243</v>
      </c>
      <c r="D45" s="1143">
        <v>5</v>
      </c>
      <c r="E45" s="1255"/>
      <c r="F45" s="1135">
        <f t="shared" si="1"/>
        <v>0</v>
      </c>
    </row>
    <row r="46" spans="1:11" s="1136" customFormat="1" ht="11.25">
      <c r="A46" s="1130"/>
      <c r="B46" s="1137" t="s">
        <v>2266</v>
      </c>
      <c r="C46" s="1142"/>
      <c r="D46" s="1143"/>
      <c r="E46" s="1255"/>
      <c r="F46" s="1135"/>
    </row>
    <row r="47" spans="1:11" s="1136" customFormat="1" ht="11.25">
      <c r="A47" s="1130"/>
      <c r="B47" s="1144">
        <v>10</v>
      </c>
      <c r="C47" s="1142" t="s">
        <v>2243</v>
      </c>
      <c r="D47" s="1143">
        <v>1</v>
      </c>
      <c r="E47" s="1255"/>
      <c r="F47" s="1135">
        <f t="shared" ref="F47:F51" si="2">E47*D47</f>
        <v>0</v>
      </c>
    </row>
    <row r="48" spans="1:11" s="1136" customFormat="1" ht="11.25">
      <c r="A48" s="1130"/>
      <c r="B48" s="1145">
        <v>15</v>
      </c>
      <c r="C48" s="1142" t="s">
        <v>2243</v>
      </c>
      <c r="D48" s="1143">
        <v>4</v>
      </c>
      <c r="E48" s="1255"/>
      <c r="F48" s="1135">
        <f t="shared" si="2"/>
        <v>0</v>
      </c>
    </row>
    <row r="49" spans="1:6" s="1136" customFormat="1" ht="11.25">
      <c r="A49" s="1130"/>
      <c r="B49" s="1145">
        <v>16</v>
      </c>
      <c r="C49" s="1142" t="s">
        <v>2243</v>
      </c>
      <c r="D49" s="1143">
        <v>7</v>
      </c>
      <c r="E49" s="1255"/>
      <c r="F49" s="1135">
        <f t="shared" si="2"/>
        <v>0</v>
      </c>
    </row>
    <row r="50" spans="1:6" s="1136" customFormat="1" ht="11.25">
      <c r="A50" s="1130"/>
      <c r="B50" s="1145">
        <v>17</v>
      </c>
      <c r="C50" s="1142" t="s">
        <v>2243</v>
      </c>
      <c r="D50" s="1143">
        <v>5</v>
      </c>
      <c r="E50" s="1255"/>
      <c r="F50" s="1135">
        <f t="shared" si="2"/>
        <v>0</v>
      </c>
    </row>
    <row r="51" spans="1:6" s="1136" customFormat="1" ht="11.25">
      <c r="A51" s="1130"/>
      <c r="B51" s="1145">
        <v>20</v>
      </c>
      <c r="C51" s="1142" t="s">
        <v>2243</v>
      </c>
      <c r="D51" s="1143">
        <v>3</v>
      </c>
      <c r="E51" s="1255"/>
      <c r="F51" s="1135">
        <f t="shared" si="2"/>
        <v>0</v>
      </c>
    </row>
    <row r="52" spans="1:6" s="1136" customFormat="1" ht="11.25">
      <c r="A52" s="1130"/>
      <c r="B52" s="1137" t="s">
        <v>2267</v>
      </c>
      <c r="C52" s="1142"/>
      <c r="D52" s="1143"/>
      <c r="E52" s="1255"/>
      <c r="F52" s="1135"/>
    </row>
    <row r="53" spans="1:6" s="1136" customFormat="1" ht="11.25">
      <c r="A53" s="1130"/>
      <c r="B53" s="1144">
        <v>15</v>
      </c>
      <c r="C53" s="1142" t="s">
        <v>2243</v>
      </c>
      <c r="D53" s="1143">
        <v>2</v>
      </c>
      <c r="E53" s="1255"/>
      <c r="F53" s="1135">
        <f t="shared" ref="F53:F59" si="3">E53*D53</f>
        <v>0</v>
      </c>
    </row>
    <row r="54" spans="1:6" s="1136" customFormat="1" ht="11.25">
      <c r="A54" s="1130"/>
      <c r="B54" s="1145">
        <v>17</v>
      </c>
      <c r="C54" s="1142" t="s">
        <v>2243</v>
      </c>
      <c r="D54" s="1143">
        <v>2</v>
      </c>
      <c r="E54" s="1255"/>
      <c r="F54" s="1135">
        <f t="shared" si="3"/>
        <v>0</v>
      </c>
    </row>
    <row r="55" spans="1:6" s="1136" customFormat="1" ht="11.25">
      <c r="A55" s="1130"/>
      <c r="B55" s="1145">
        <v>18</v>
      </c>
      <c r="C55" s="1142" t="s">
        <v>2243</v>
      </c>
      <c r="D55" s="1143">
        <v>6</v>
      </c>
      <c r="E55" s="1255"/>
      <c r="F55" s="1135">
        <f t="shared" si="3"/>
        <v>0</v>
      </c>
    </row>
    <row r="56" spans="1:6" s="1136" customFormat="1" ht="11.25">
      <c r="A56" s="1130"/>
      <c r="B56" s="1145">
        <v>19</v>
      </c>
      <c r="C56" s="1142" t="s">
        <v>2243</v>
      </c>
      <c r="D56" s="1143">
        <v>2</v>
      </c>
      <c r="E56" s="1255"/>
      <c r="F56" s="1135">
        <f t="shared" si="3"/>
        <v>0</v>
      </c>
    </row>
    <row r="57" spans="1:6" s="1136" customFormat="1" ht="11.25">
      <c r="A57" s="1130"/>
      <c r="B57" s="1145">
        <v>21</v>
      </c>
      <c r="C57" s="1142" t="s">
        <v>2243</v>
      </c>
      <c r="D57" s="1143">
        <v>4</v>
      </c>
      <c r="E57" s="1255"/>
      <c r="F57" s="1135">
        <f t="shared" si="3"/>
        <v>0</v>
      </c>
    </row>
    <row r="58" spans="1:6" s="1136" customFormat="1" ht="11.25">
      <c r="A58" s="1130"/>
      <c r="B58" s="1145">
        <v>22</v>
      </c>
      <c r="C58" s="1142" t="s">
        <v>2243</v>
      </c>
      <c r="D58" s="1143">
        <v>7</v>
      </c>
      <c r="E58" s="1255"/>
      <c r="F58" s="1135">
        <f t="shared" si="3"/>
        <v>0</v>
      </c>
    </row>
    <row r="59" spans="1:6" s="1136" customFormat="1" ht="11.25">
      <c r="A59" s="1130"/>
      <c r="B59" s="1145">
        <v>22</v>
      </c>
      <c r="C59" s="1142" t="s">
        <v>2243</v>
      </c>
      <c r="D59" s="1143">
        <v>4</v>
      </c>
      <c r="E59" s="1255"/>
      <c r="F59" s="1135">
        <f t="shared" si="3"/>
        <v>0</v>
      </c>
    </row>
    <row r="60" spans="1:6" s="1136" customFormat="1" ht="11.25">
      <c r="A60" s="1130"/>
      <c r="B60" s="1137" t="s">
        <v>2268</v>
      </c>
      <c r="C60" s="1142"/>
      <c r="D60" s="1143"/>
      <c r="E60" s="1255"/>
      <c r="F60" s="1135"/>
    </row>
    <row r="61" spans="1:6" s="1136" customFormat="1" ht="11.25">
      <c r="A61" s="1130"/>
      <c r="B61" s="1144">
        <v>15</v>
      </c>
      <c r="C61" s="1142" t="s">
        <v>2243</v>
      </c>
      <c r="D61" s="1143">
        <v>2</v>
      </c>
      <c r="E61" s="1255"/>
      <c r="F61" s="1135">
        <f t="shared" ref="F61:F65" si="4">E61*D61</f>
        <v>0</v>
      </c>
    </row>
    <row r="62" spans="1:6" s="1136" customFormat="1" ht="11.25">
      <c r="A62" s="1130"/>
      <c r="B62" s="1145">
        <v>17</v>
      </c>
      <c r="C62" s="1142" t="s">
        <v>2243</v>
      </c>
      <c r="D62" s="1143">
        <v>2</v>
      </c>
      <c r="E62" s="1255"/>
      <c r="F62" s="1135">
        <f t="shared" si="4"/>
        <v>0</v>
      </c>
    </row>
    <row r="63" spans="1:6" s="1136" customFormat="1" ht="11.25">
      <c r="A63" s="1130"/>
      <c r="B63" s="1145">
        <v>19</v>
      </c>
      <c r="C63" s="1142" t="s">
        <v>2243</v>
      </c>
      <c r="D63" s="1143">
        <v>4</v>
      </c>
      <c r="E63" s="1255"/>
      <c r="F63" s="1135">
        <f t="shared" si="4"/>
        <v>0</v>
      </c>
    </row>
    <row r="64" spans="1:6" s="1136" customFormat="1" ht="11.25">
      <c r="A64" s="1130"/>
      <c r="B64" s="1145">
        <v>21</v>
      </c>
      <c r="C64" s="1142" t="s">
        <v>2243</v>
      </c>
      <c r="D64" s="1143">
        <v>1</v>
      </c>
      <c r="E64" s="1255"/>
      <c r="F64" s="1135">
        <f t="shared" si="4"/>
        <v>0</v>
      </c>
    </row>
    <row r="65" spans="1:6" s="1136" customFormat="1" ht="11.25">
      <c r="A65" s="1130"/>
      <c r="B65" s="1145">
        <v>22</v>
      </c>
      <c r="C65" s="1142" t="s">
        <v>2243</v>
      </c>
      <c r="D65" s="1143">
        <v>8</v>
      </c>
      <c r="E65" s="1255"/>
      <c r="F65" s="1135">
        <f t="shared" si="4"/>
        <v>0</v>
      </c>
    </row>
    <row r="66" spans="1:6" s="1136" customFormat="1" ht="11.25">
      <c r="A66" s="1130"/>
      <c r="B66" s="1145"/>
      <c r="C66" s="1132"/>
      <c r="D66" s="1133"/>
      <c r="E66" s="1254"/>
      <c r="F66" s="1135"/>
    </row>
    <row r="67" spans="1:6" s="1136" customFormat="1" ht="45">
      <c r="A67" s="1130">
        <f>A36+0.001</f>
        <v>1.1180000000000001</v>
      </c>
      <c r="B67" s="1146" t="s">
        <v>2269</v>
      </c>
      <c r="C67" s="1147" t="s">
        <v>2243</v>
      </c>
      <c r="D67" s="1148">
        <v>83</v>
      </c>
      <c r="E67" s="1255"/>
      <c r="F67" s="1135">
        <f>E67*D67</f>
        <v>0</v>
      </c>
    </row>
    <row r="68" spans="1:6" s="1136" customFormat="1" ht="11.25">
      <c r="A68" s="1130"/>
      <c r="B68" s="1145"/>
      <c r="C68" s="1132"/>
      <c r="D68" s="1133"/>
      <c r="E68" s="1254"/>
      <c r="F68" s="1135"/>
    </row>
    <row r="69" spans="1:6" s="1136" customFormat="1" ht="56.25">
      <c r="A69" s="1130">
        <f>A67+0.001</f>
        <v>1.119</v>
      </c>
      <c r="B69" s="1149" t="s">
        <v>2270</v>
      </c>
      <c r="C69" s="1147" t="s">
        <v>2243</v>
      </c>
      <c r="D69" s="1148">
        <v>83</v>
      </c>
      <c r="E69" s="1255"/>
      <c r="F69" s="1135">
        <f>E69*D69</f>
        <v>0</v>
      </c>
    </row>
    <row r="70" spans="1:6" s="1136" customFormat="1" ht="11.25">
      <c r="A70" s="1130"/>
      <c r="B70" s="1145"/>
      <c r="C70" s="1132"/>
      <c r="D70" s="1133"/>
      <c r="E70" s="1254"/>
      <c r="F70" s="1135"/>
    </row>
    <row r="71" spans="1:6" s="1136" customFormat="1" ht="22.5">
      <c r="A71" s="1130">
        <f>A69+0.001</f>
        <v>1.1200000000000001</v>
      </c>
      <c r="B71" s="1149" t="s">
        <v>2271</v>
      </c>
      <c r="C71" s="1147" t="s">
        <v>2243</v>
      </c>
      <c r="D71" s="1148">
        <v>83</v>
      </c>
      <c r="E71" s="1255"/>
      <c r="F71" s="1135">
        <f>E71*D71</f>
        <v>0</v>
      </c>
    </row>
    <row r="72" spans="1:6" s="1136" customFormat="1" ht="11.25">
      <c r="A72" s="1130"/>
      <c r="B72" s="1137"/>
      <c r="C72" s="1132"/>
      <c r="D72" s="1133"/>
      <c r="E72" s="1254"/>
      <c r="F72" s="1135"/>
    </row>
    <row r="73" spans="1:6" s="1136" customFormat="1" ht="51.6" customHeight="1">
      <c r="A73" s="1130">
        <f>A71+0.001</f>
        <v>1.121</v>
      </c>
      <c r="B73" s="1131" t="s">
        <v>2272</v>
      </c>
      <c r="C73" s="1132"/>
      <c r="D73" s="1133"/>
      <c r="E73" s="1254"/>
      <c r="F73" s="1135"/>
    </row>
    <row r="74" spans="1:6" s="1136" customFormat="1" ht="9.6" customHeight="1">
      <c r="A74" s="1130"/>
      <c r="B74" s="1137" t="s">
        <v>2256</v>
      </c>
      <c r="C74" s="1132" t="s">
        <v>1160</v>
      </c>
      <c r="D74" s="1133">
        <v>18</v>
      </c>
      <c r="E74" s="1255"/>
      <c r="F74" s="1135">
        <f>E74*D74</f>
        <v>0</v>
      </c>
    </row>
    <row r="75" spans="1:6" s="1136" customFormat="1" ht="9.6" customHeight="1">
      <c r="A75" s="1130"/>
      <c r="B75" s="1137" t="s">
        <v>2273</v>
      </c>
      <c r="C75" s="1132" t="s">
        <v>1160</v>
      </c>
      <c r="D75" s="1133">
        <v>24</v>
      </c>
      <c r="E75" s="1255"/>
      <c r="F75" s="1135">
        <f t="shared" ref="F75:F82" si="5">E75*D75</f>
        <v>0</v>
      </c>
    </row>
    <row r="76" spans="1:6" s="1136" customFormat="1" ht="9.6" customHeight="1">
      <c r="A76" s="1130"/>
      <c r="B76" s="1137" t="s">
        <v>2274</v>
      </c>
      <c r="C76" s="1132" t="s">
        <v>1160</v>
      </c>
      <c r="D76" s="1133">
        <v>156</v>
      </c>
      <c r="E76" s="1255"/>
      <c r="F76" s="1135">
        <f t="shared" si="5"/>
        <v>0</v>
      </c>
    </row>
    <row r="77" spans="1:6" s="1136" customFormat="1" ht="9.6" customHeight="1">
      <c r="A77" s="1130"/>
      <c r="B77" s="1137" t="s">
        <v>2275</v>
      </c>
      <c r="C77" s="1132" t="s">
        <v>1160</v>
      </c>
      <c r="D77" s="1133">
        <v>42</v>
      </c>
      <c r="E77" s="1255"/>
      <c r="F77" s="1135">
        <f t="shared" si="5"/>
        <v>0</v>
      </c>
    </row>
    <row r="78" spans="1:6" s="1136" customFormat="1" ht="9.6" customHeight="1">
      <c r="A78" s="1130"/>
      <c r="B78" s="1137" t="s">
        <v>2257</v>
      </c>
      <c r="C78" s="1132" t="s">
        <v>1160</v>
      </c>
      <c r="D78" s="1133">
        <v>120</v>
      </c>
      <c r="E78" s="1255"/>
      <c r="F78" s="1135">
        <f t="shared" si="5"/>
        <v>0</v>
      </c>
    </row>
    <row r="79" spans="1:6" s="1136" customFormat="1" ht="9.6" customHeight="1">
      <c r="A79" s="1130"/>
      <c r="B79" s="1137" t="s">
        <v>2276</v>
      </c>
      <c r="C79" s="1132" t="s">
        <v>1160</v>
      </c>
      <c r="D79" s="1133">
        <v>108</v>
      </c>
      <c r="E79" s="1255"/>
      <c r="F79" s="1135">
        <f t="shared" si="5"/>
        <v>0</v>
      </c>
    </row>
    <row r="80" spans="1:6" s="1136" customFormat="1" ht="9.6" customHeight="1">
      <c r="A80" s="1130"/>
      <c r="B80" s="1137" t="s">
        <v>2277</v>
      </c>
      <c r="C80" s="1132" t="s">
        <v>1160</v>
      </c>
      <c r="D80" s="1133">
        <v>426</v>
      </c>
      <c r="E80" s="1255"/>
      <c r="F80" s="1135">
        <f t="shared" si="5"/>
        <v>0</v>
      </c>
    </row>
    <row r="81" spans="1:6" s="1136" customFormat="1" ht="9.6" customHeight="1">
      <c r="A81" s="1130"/>
      <c r="B81" s="1137" t="s">
        <v>2261</v>
      </c>
      <c r="C81" s="1132" t="s">
        <v>1160</v>
      </c>
      <c r="D81" s="1133">
        <v>426</v>
      </c>
      <c r="E81" s="1255"/>
      <c r="F81" s="1135">
        <f t="shared" si="5"/>
        <v>0</v>
      </c>
    </row>
    <row r="82" spans="1:6" s="1136" customFormat="1" ht="9.6" customHeight="1">
      <c r="A82" s="1130"/>
      <c r="B82" s="1137" t="s">
        <v>2278</v>
      </c>
      <c r="C82" s="1132" t="s">
        <v>1160</v>
      </c>
      <c r="D82" s="1133">
        <v>138</v>
      </c>
      <c r="E82" s="1255"/>
      <c r="F82" s="1135">
        <f t="shared" si="5"/>
        <v>0</v>
      </c>
    </row>
    <row r="83" spans="1:6" s="1136" customFormat="1" ht="11.25">
      <c r="A83" s="1130"/>
      <c r="B83" s="1137"/>
      <c r="C83" s="1132"/>
      <c r="D83" s="1133"/>
      <c r="E83" s="1254"/>
      <c r="F83" s="1135"/>
    </row>
    <row r="84" spans="1:6" ht="45.75">
      <c r="A84" s="1130">
        <f>A73+0.001</f>
        <v>1.1220000000000001</v>
      </c>
      <c r="B84" s="1139" t="s">
        <v>2279</v>
      </c>
      <c r="C84" s="1132"/>
      <c r="D84" s="1140"/>
      <c r="E84" s="1254"/>
      <c r="F84" s="1135"/>
    </row>
    <row r="85" spans="1:6" s="1136" customFormat="1" ht="9.6" customHeight="1">
      <c r="A85" s="1130"/>
      <c r="B85" s="1137" t="s">
        <v>2256</v>
      </c>
      <c r="C85" s="1132" t="s">
        <v>1160</v>
      </c>
      <c r="D85" s="1133">
        <v>18</v>
      </c>
      <c r="E85" s="1255"/>
      <c r="F85" s="1135">
        <f>E85*D85</f>
        <v>0</v>
      </c>
    </row>
    <row r="86" spans="1:6" s="1136" customFormat="1" ht="9.6" customHeight="1">
      <c r="A86" s="1130"/>
      <c r="B86" s="1137" t="s">
        <v>2273</v>
      </c>
      <c r="C86" s="1132" t="s">
        <v>1160</v>
      </c>
      <c r="D86" s="1133">
        <v>24</v>
      </c>
      <c r="E86" s="1255"/>
      <c r="F86" s="1135">
        <f t="shared" ref="F86:F93" si="6">E86*D86</f>
        <v>0</v>
      </c>
    </row>
    <row r="87" spans="1:6" s="1136" customFormat="1" ht="9.6" customHeight="1">
      <c r="A87" s="1130"/>
      <c r="B87" s="1137" t="s">
        <v>2274</v>
      </c>
      <c r="C87" s="1132" t="s">
        <v>1160</v>
      </c>
      <c r="D87" s="1133">
        <v>156</v>
      </c>
      <c r="E87" s="1255"/>
      <c r="F87" s="1135">
        <f t="shared" si="6"/>
        <v>0</v>
      </c>
    </row>
    <row r="88" spans="1:6" s="1136" customFormat="1" ht="9.6" customHeight="1">
      <c r="A88" s="1130"/>
      <c r="B88" s="1137" t="s">
        <v>2275</v>
      </c>
      <c r="C88" s="1132" t="s">
        <v>1160</v>
      </c>
      <c r="D88" s="1133">
        <v>42</v>
      </c>
      <c r="E88" s="1255"/>
      <c r="F88" s="1135">
        <f t="shared" si="6"/>
        <v>0</v>
      </c>
    </row>
    <row r="89" spans="1:6" s="1136" customFormat="1" ht="9.6" customHeight="1">
      <c r="A89" s="1130"/>
      <c r="B89" s="1137" t="s">
        <v>2257</v>
      </c>
      <c r="C89" s="1132" t="s">
        <v>1160</v>
      </c>
      <c r="D89" s="1133">
        <v>120</v>
      </c>
      <c r="E89" s="1255"/>
      <c r="F89" s="1135">
        <f t="shared" si="6"/>
        <v>0</v>
      </c>
    </row>
    <row r="90" spans="1:6" s="1136" customFormat="1" ht="9.6" customHeight="1">
      <c r="A90" s="1130"/>
      <c r="B90" s="1137" t="s">
        <v>2276</v>
      </c>
      <c r="C90" s="1132" t="s">
        <v>1160</v>
      </c>
      <c r="D90" s="1133">
        <v>108</v>
      </c>
      <c r="E90" s="1255"/>
      <c r="F90" s="1135">
        <f t="shared" si="6"/>
        <v>0</v>
      </c>
    </row>
    <row r="91" spans="1:6" s="1136" customFormat="1" ht="9.6" customHeight="1">
      <c r="A91" s="1130"/>
      <c r="B91" s="1137" t="s">
        <v>2277</v>
      </c>
      <c r="C91" s="1132" t="s">
        <v>1160</v>
      </c>
      <c r="D91" s="1133">
        <v>426</v>
      </c>
      <c r="E91" s="1255"/>
      <c r="F91" s="1135">
        <f t="shared" si="6"/>
        <v>0</v>
      </c>
    </row>
    <row r="92" spans="1:6" s="1136" customFormat="1" ht="9.6" customHeight="1">
      <c r="A92" s="1130"/>
      <c r="B92" s="1137" t="s">
        <v>2261</v>
      </c>
      <c r="C92" s="1132" t="s">
        <v>1160</v>
      </c>
      <c r="D92" s="1133">
        <v>426</v>
      </c>
      <c r="E92" s="1255"/>
      <c r="F92" s="1135">
        <f t="shared" si="6"/>
        <v>0</v>
      </c>
    </row>
    <row r="93" spans="1:6" s="1136" customFormat="1" ht="9.6" customHeight="1">
      <c r="A93" s="1130"/>
      <c r="B93" s="1137" t="s">
        <v>2278</v>
      </c>
      <c r="C93" s="1132" t="s">
        <v>1160</v>
      </c>
      <c r="D93" s="1133">
        <v>138</v>
      </c>
      <c r="E93" s="1255"/>
      <c r="F93" s="1135">
        <f t="shared" si="6"/>
        <v>0</v>
      </c>
    </row>
    <row r="94" spans="1:6">
      <c r="B94" s="1139"/>
      <c r="C94" s="1132"/>
      <c r="D94" s="1140"/>
      <c r="E94" s="1254"/>
      <c r="F94" s="1135"/>
    </row>
    <row r="95" spans="1:6" ht="158.25">
      <c r="A95" s="1130">
        <f>A84+0.001</f>
        <v>1.123</v>
      </c>
      <c r="B95" s="1139" t="s">
        <v>2280</v>
      </c>
      <c r="C95" s="1132"/>
      <c r="D95" s="1140"/>
      <c r="E95" s="1254"/>
      <c r="F95" s="1135"/>
    </row>
    <row r="96" spans="1:6">
      <c r="B96" s="1137" t="s">
        <v>2256</v>
      </c>
      <c r="C96" s="1132" t="s">
        <v>1160</v>
      </c>
      <c r="D96" s="1133">
        <v>18</v>
      </c>
      <c r="E96" s="1255"/>
      <c r="F96" s="1135">
        <f>E96*D96</f>
        <v>0</v>
      </c>
    </row>
    <row r="97" spans="1:6">
      <c r="B97" s="1137" t="s">
        <v>2273</v>
      </c>
      <c r="C97" s="1132" t="s">
        <v>1160</v>
      </c>
      <c r="D97" s="1133">
        <v>24</v>
      </c>
      <c r="E97" s="1255"/>
      <c r="F97" s="1135">
        <f t="shared" ref="F97:F104" si="7">E97*D97</f>
        <v>0</v>
      </c>
    </row>
    <row r="98" spans="1:6">
      <c r="B98" s="1137" t="s">
        <v>2274</v>
      </c>
      <c r="C98" s="1132" t="s">
        <v>1160</v>
      </c>
      <c r="D98" s="1133">
        <v>156</v>
      </c>
      <c r="E98" s="1255"/>
      <c r="F98" s="1135">
        <f t="shared" si="7"/>
        <v>0</v>
      </c>
    </row>
    <row r="99" spans="1:6">
      <c r="B99" s="1137" t="s">
        <v>2275</v>
      </c>
      <c r="C99" s="1132" t="s">
        <v>1160</v>
      </c>
      <c r="D99" s="1133">
        <v>42</v>
      </c>
      <c r="E99" s="1255"/>
      <c r="F99" s="1135">
        <f t="shared" si="7"/>
        <v>0</v>
      </c>
    </row>
    <row r="100" spans="1:6">
      <c r="B100" s="1137" t="s">
        <v>2257</v>
      </c>
      <c r="C100" s="1132" t="s">
        <v>1160</v>
      </c>
      <c r="D100" s="1133">
        <v>120</v>
      </c>
      <c r="E100" s="1255"/>
      <c r="F100" s="1135">
        <f t="shared" si="7"/>
        <v>0</v>
      </c>
    </row>
    <row r="101" spans="1:6">
      <c r="B101" s="1137" t="s">
        <v>2276</v>
      </c>
      <c r="C101" s="1132" t="s">
        <v>1160</v>
      </c>
      <c r="D101" s="1133">
        <v>108</v>
      </c>
      <c r="E101" s="1255"/>
      <c r="F101" s="1135">
        <f t="shared" si="7"/>
        <v>0</v>
      </c>
    </row>
    <row r="102" spans="1:6">
      <c r="B102" s="1137" t="s">
        <v>2277</v>
      </c>
      <c r="C102" s="1132" t="s">
        <v>1160</v>
      </c>
      <c r="D102" s="1133">
        <v>426</v>
      </c>
      <c r="E102" s="1255"/>
      <c r="F102" s="1135">
        <f t="shared" si="7"/>
        <v>0</v>
      </c>
    </row>
    <row r="103" spans="1:6">
      <c r="B103" s="1137" t="s">
        <v>2261</v>
      </c>
      <c r="C103" s="1132" t="s">
        <v>1160</v>
      </c>
      <c r="D103" s="1133">
        <v>426</v>
      </c>
      <c r="E103" s="1255"/>
      <c r="F103" s="1135">
        <f t="shared" si="7"/>
        <v>0</v>
      </c>
    </row>
    <row r="104" spans="1:6">
      <c r="B104" s="1137" t="s">
        <v>2278</v>
      </c>
      <c r="C104" s="1132" t="s">
        <v>1160</v>
      </c>
      <c r="D104" s="1133">
        <v>138</v>
      </c>
      <c r="E104" s="1255"/>
      <c r="F104" s="1135">
        <f t="shared" si="7"/>
        <v>0</v>
      </c>
    </row>
    <row r="105" spans="1:6" s="1136" customFormat="1" ht="11.25">
      <c r="A105" s="1130"/>
      <c r="B105" s="1137"/>
      <c r="C105" s="1132"/>
      <c r="D105" s="1133"/>
      <c r="E105" s="1254"/>
      <c r="F105" s="1135"/>
    </row>
    <row r="106" spans="1:6" s="1153" customFormat="1" ht="22.5">
      <c r="A106" s="1130">
        <f>A95+0.001</f>
        <v>1.1240000000000001</v>
      </c>
      <c r="B106" s="1150" t="s">
        <v>2281</v>
      </c>
      <c r="C106" s="1151" t="s">
        <v>2243</v>
      </c>
      <c r="D106" s="1152">
        <v>12</v>
      </c>
      <c r="E106" s="1254"/>
      <c r="F106" s="1135">
        <f>E106*D106</f>
        <v>0</v>
      </c>
    </row>
    <row r="107" spans="1:6" s="1153" customFormat="1" ht="11.25">
      <c r="A107" s="1130"/>
      <c r="B107" s="1150"/>
      <c r="C107" s="1151"/>
      <c r="D107" s="1152"/>
      <c r="E107" s="1254"/>
      <c r="F107" s="1135"/>
    </row>
    <row r="108" spans="1:6" s="1153" customFormat="1" ht="56.25">
      <c r="A108" s="1130">
        <f>A106+0.001</f>
        <v>1.125</v>
      </c>
      <c r="B108" s="1150" t="s">
        <v>2282</v>
      </c>
      <c r="C108" s="1154" t="s">
        <v>2243</v>
      </c>
      <c r="D108" s="1152">
        <v>1</v>
      </c>
      <c r="E108" s="1254"/>
      <c r="F108" s="1135">
        <f>E108*D108</f>
        <v>0</v>
      </c>
    </row>
    <row r="109" spans="1:6" s="1153" customFormat="1" ht="11.25">
      <c r="A109" s="1155"/>
      <c r="B109" s="1150"/>
      <c r="C109" s="1154"/>
      <c r="D109" s="1152"/>
      <c r="E109" s="57"/>
      <c r="F109" s="1156"/>
    </row>
    <row r="110" spans="1:6" s="1160" customFormat="1" ht="45">
      <c r="A110" s="1130">
        <f>A108+0.001</f>
        <v>1.1259999999999999</v>
      </c>
      <c r="B110" s="1157" t="s">
        <v>2283</v>
      </c>
      <c r="C110" s="1158" t="s">
        <v>2243</v>
      </c>
      <c r="D110" s="1159">
        <v>1</v>
      </c>
      <c r="E110" s="1254"/>
      <c r="F110" s="1135">
        <f>E110*D110</f>
        <v>0</v>
      </c>
    </row>
    <row r="111" spans="1:6" s="1160" customFormat="1" ht="11.25">
      <c r="A111" s="1155"/>
      <c r="B111" s="1157"/>
      <c r="C111" s="1158"/>
      <c r="D111" s="1159"/>
      <c r="E111" s="1256"/>
      <c r="F111" s="1161"/>
    </row>
    <row r="112" spans="1:6" s="1160" customFormat="1" ht="22.5">
      <c r="A112" s="1130">
        <f>A110+0.001</f>
        <v>1.127</v>
      </c>
      <c r="B112" s="1157" t="s">
        <v>2284</v>
      </c>
      <c r="C112" s="1158" t="s">
        <v>2243</v>
      </c>
      <c r="D112" s="1159">
        <v>1</v>
      </c>
      <c r="E112" s="1254"/>
      <c r="F112" s="1135">
        <f>E112*D112</f>
        <v>0</v>
      </c>
    </row>
    <row r="113" spans="1:6" s="1160" customFormat="1" ht="11.25">
      <c r="A113" s="1155"/>
      <c r="B113" s="1157"/>
      <c r="C113" s="1158"/>
      <c r="D113" s="1159"/>
      <c r="E113" s="1256"/>
      <c r="F113" s="1161"/>
    </row>
    <row r="114" spans="1:6" s="1160" customFormat="1" ht="33.75">
      <c r="A114" s="1130">
        <f>A112+0.001</f>
        <v>1.1279999999999999</v>
      </c>
      <c r="B114" s="1157" t="s">
        <v>2285</v>
      </c>
      <c r="C114" s="1158" t="s">
        <v>2243</v>
      </c>
      <c r="D114" s="1159">
        <v>1</v>
      </c>
      <c r="E114" s="1254"/>
      <c r="F114" s="1135">
        <f>E114*D114</f>
        <v>0</v>
      </c>
    </row>
    <row r="115" spans="1:6" s="1160" customFormat="1" ht="11.25">
      <c r="A115" s="1155"/>
      <c r="B115" s="1157"/>
      <c r="C115" s="1158"/>
      <c r="D115" s="1159"/>
      <c r="E115" s="1256"/>
      <c r="F115" s="1161"/>
    </row>
    <row r="116" spans="1:6" s="1160" customFormat="1" ht="11.25">
      <c r="A116" s="1130">
        <f>A114+0.001</f>
        <v>1.129</v>
      </c>
      <c r="B116" s="1157" t="s">
        <v>2286</v>
      </c>
      <c r="C116" s="1158" t="s">
        <v>2243</v>
      </c>
      <c r="D116" s="1159">
        <v>1</v>
      </c>
      <c r="E116" s="1254"/>
      <c r="F116" s="1135">
        <f>E116*D116</f>
        <v>0</v>
      </c>
    </row>
    <row r="117" spans="1:6" s="1160" customFormat="1" ht="11.25">
      <c r="A117" s="1155"/>
      <c r="B117" s="1157"/>
      <c r="C117" s="1158"/>
      <c r="D117" s="1159"/>
      <c r="E117" s="1256"/>
      <c r="F117" s="1161"/>
    </row>
    <row r="118" spans="1:6" s="1160" customFormat="1" ht="22.5">
      <c r="A118" s="1130">
        <f>A116+0.001</f>
        <v>1.1299999999999999</v>
      </c>
      <c r="B118" s="1157" t="s">
        <v>2287</v>
      </c>
      <c r="C118" s="1158" t="s">
        <v>2243</v>
      </c>
      <c r="D118" s="1159">
        <v>1</v>
      </c>
      <c r="E118" s="1254"/>
      <c r="F118" s="1135">
        <f>E118*D118</f>
        <v>0</v>
      </c>
    </row>
    <row r="119" spans="1:6" s="1136" customFormat="1" ht="12" thickBot="1">
      <c r="A119" s="1130"/>
      <c r="B119" s="1137"/>
      <c r="C119" s="1132"/>
      <c r="D119" s="1133"/>
      <c r="E119" s="1254"/>
      <c r="F119" s="1135"/>
    </row>
    <row r="120" spans="1:6" ht="15.75" thickBot="1">
      <c r="A120" s="1127">
        <f>A3+0.1</f>
        <v>1.2</v>
      </c>
      <c r="B120" s="1128" t="s">
        <v>2288</v>
      </c>
      <c r="C120" s="1162"/>
      <c r="D120" s="1162"/>
      <c r="E120" s="1257"/>
      <c r="F120" s="1163"/>
    </row>
    <row r="121" spans="1:6" ht="213.75">
      <c r="A121" s="1130">
        <f>A120+0.001</f>
        <v>1.2010000000000001</v>
      </c>
      <c r="B121" s="1164" t="s">
        <v>2289</v>
      </c>
      <c r="C121" s="1158" t="s">
        <v>2243</v>
      </c>
      <c r="D121" s="1165">
        <v>1</v>
      </c>
      <c r="E121" s="1258"/>
      <c r="F121" s="1135">
        <f>E121*D121</f>
        <v>0</v>
      </c>
    </row>
    <row r="122" spans="1:6">
      <c r="B122" s="1164" t="s">
        <v>2290</v>
      </c>
      <c r="C122" s="1158"/>
      <c r="D122" s="1165"/>
      <c r="E122" s="1258"/>
      <c r="F122" s="1135"/>
    </row>
    <row r="123" spans="1:6">
      <c r="B123" s="1164" t="s">
        <v>2291</v>
      </c>
      <c r="C123" s="1158"/>
      <c r="D123" s="1165"/>
      <c r="E123" s="1258"/>
      <c r="F123" s="1135"/>
    </row>
    <row r="124" spans="1:6">
      <c r="B124" s="1164" t="s">
        <v>2292</v>
      </c>
      <c r="C124" s="1158"/>
      <c r="D124" s="1165"/>
      <c r="E124" s="1258"/>
      <c r="F124" s="1135"/>
    </row>
    <row r="125" spans="1:6">
      <c r="B125" s="1164" t="s">
        <v>2293</v>
      </c>
      <c r="C125" s="1158"/>
      <c r="D125" s="1165"/>
      <c r="E125" s="1258"/>
      <c r="F125" s="1135"/>
    </row>
    <row r="126" spans="1:6">
      <c r="B126" s="1164" t="s">
        <v>2294</v>
      </c>
      <c r="C126" s="1158"/>
      <c r="D126" s="1165"/>
      <c r="E126" s="1258"/>
      <c r="F126" s="1135"/>
    </row>
    <row r="127" spans="1:6" ht="15.75" thickBot="1">
      <c r="B127" s="1164"/>
      <c r="C127" s="1158"/>
      <c r="D127" s="1165"/>
      <c r="E127" s="1258"/>
      <c r="F127" s="1135"/>
    </row>
    <row r="128" spans="1:6" ht="15.75" thickBot="1">
      <c r="A128" s="1127">
        <f>A120+0.1</f>
        <v>1.3</v>
      </c>
      <c r="B128" s="1128" t="s">
        <v>2295</v>
      </c>
      <c r="C128" s="1162"/>
      <c r="D128" s="1162"/>
      <c r="E128" s="1257"/>
      <c r="F128" s="1163"/>
    </row>
    <row r="129" spans="1:6">
      <c r="B129" s="1164"/>
      <c r="C129" s="1158"/>
      <c r="D129" s="1165"/>
      <c r="E129" s="1258"/>
      <c r="F129" s="1135"/>
    </row>
    <row r="130" spans="1:6" ht="113.25">
      <c r="B130" s="1149" t="s">
        <v>2296</v>
      </c>
      <c r="C130" s="1158"/>
      <c r="D130" s="1165"/>
      <c r="E130" s="1258"/>
      <c r="F130" s="1135"/>
    </row>
    <row r="131" spans="1:6">
      <c r="B131" s="1149"/>
      <c r="C131" s="1158"/>
      <c r="D131" s="1165"/>
      <c r="E131" s="1258"/>
      <c r="F131" s="1135"/>
    </row>
    <row r="132" spans="1:6" ht="56.25">
      <c r="A132" s="1130">
        <f>A128+0.001</f>
        <v>1.3009999999999999</v>
      </c>
      <c r="B132" s="1131" t="s">
        <v>2297</v>
      </c>
      <c r="C132" s="1158" t="s">
        <v>2243</v>
      </c>
      <c r="D132" s="1165">
        <v>3</v>
      </c>
      <c r="E132" s="1258"/>
      <c r="F132" s="1135">
        <f>E132*D132</f>
        <v>0</v>
      </c>
    </row>
    <row r="133" spans="1:6">
      <c r="B133" s="1131"/>
      <c r="C133" s="1158"/>
      <c r="D133" s="1165"/>
      <c r="E133" s="1258"/>
      <c r="F133" s="1135"/>
    </row>
    <row r="134" spans="1:6" ht="67.5">
      <c r="A134" s="1130">
        <f>A132+0.001</f>
        <v>1.302</v>
      </c>
      <c r="B134" s="1131" t="s">
        <v>2298</v>
      </c>
      <c r="C134" s="1158" t="s">
        <v>2243</v>
      </c>
      <c r="D134" s="1165">
        <v>7</v>
      </c>
      <c r="E134" s="1258"/>
      <c r="F134" s="1135">
        <f>E134*D134</f>
        <v>0</v>
      </c>
    </row>
    <row r="135" spans="1:6">
      <c r="B135" s="1131"/>
      <c r="C135" s="1158"/>
      <c r="D135" s="1165"/>
      <c r="E135" s="1258"/>
      <c r="F135" s="1135"/>
    </row>
    <row r="136" spans="1:6" ht="67.5">
      <c r="A136" s="1130">
        <f>A134+0.001</f>
        <v>1.3029999999999999</v>
      </c>
      <c r="B136" s="1131" t="s">
        <v>2299</v>
      </c>
      <c r="C136" s="1158" t="s">
        <v>2243</v>
      </c>
      <c r="D136" s="1165">
        <v>2</v>
      </c>
      <c r="E136" s="1258"/>
      <c r="F136" s="1135">
        <f>E136*D136</f>
        <v>0</v>
      </c>
    </row>
    <row r="137" spans="1:6">
      <c r="B137" s="1131"/>
      <c r="C137" s="1158"/>
      <c r="D137" s="1165"/>
      <c r="E137" s="1258"/>
      <c r="F137" s="1135"/>
    </row>
    <row r="138" spans="1:6" ht="56.25">
      <c r="A138" s="1130">
        <f>A136+0.001</f>
        <v>1.304</v>
      </c>
      <c r="B138" s="1131" t="s">
        <v>2300</v>
      </c>
      <c r="C138" s="1158" t="s">
        <v>2243</v>
      </c>
      <c r="D138" s="1165">
        <v>1</v>
      </c>
      <c r="E138" s="1258"/>
      <c r="F138" s="1135">
        <f>E138*D138</f>
        <v>0</v>
      </c>
    </row>
    <row r="139" spans="1:6" ht="15.75" thickBot="1">
      <c r="B139" s="1142"/>
      <c r="C139" s="1158"/>
      <c r="D139" s="1165"/>
      <c r="E139" s="1258"/>
      <c r="F139" s="1135"/>
    </row>
    <row r="140" spans="1:6" ht="15.75" thickBot="1">
      <c r="A140" s="1127">
        <f>A128+0.1</f>
        <v>1.4</v>
      </c>
      <c r="B140" s="1128" t="s">
        <v>2301</v>
      </c>
      <c r="C140" s="1162"/>
      <c r="D140" s="1162"/>
      <c r="E140" s="1257"/>
      <c r="F140" s="1163"/>
    </row>
    <row r="141" spans="1:6" s="1169" customFormat="1" ht="56.25">
      <c r="A141" s="1130">
        <f>A140+0.001</f>
        <v>1.401</v>
      </c>
      <c r="B141" s="1142" t="s">
        <v>2302</v>
      </c>
      <c r="C141" s="1166"/>
      <c r="D141" s="1167"/>
      <c r="E141" s="1259"/>
      <c r="F141" s="1168"/>
    </row>
    <row r="142" spans="1:6" s="1169" customFormat="1" ht="11.25">
      <c r="A142" s="1170"/>
      <c r="B142" s="1142" t="s">
        <v>2303</v>
      </c>
      <c r="C142" s="1142"/>
      <c r="D142" s="1143"/>
      <c r="E142" s="1260"/>
      <c r="F142" s="1171"/>
    </row>
    <row r="143" spans="1:6" s="1169" customFormat="1" ht="11.25">
      <c r="A143" s="1170"/>
      <c r="B143" s="1142" t="s">
        <v>2304</v>
      </c>
      <c r="C143" s="1142" t="s">
        <v>2243</v>
      </c>
      <c r="D143" s="1143">
        <v>12</v>
      </c>
      <c r="E143" s="1258"/>
      <c r="F143" s="1135">
        <f>E143*D143</f>
        <v>0</v>
      </c>
    </row>
    <row r="144" spans="1:6" s="1169" customFormat="1" ht="11.25">
      <c r="A144" s="1170"/>
      <c r="B144" s="1142" t="s">
        <v>2305</v>
      </c>
      <c r="C144" s="1142" t="s">
        <v>2243</v>
      </c>
      <c r="D144" s="1143">
        <v>3</v>
      </c>
      <c r="E144" s="1258"/>
      <c r="F144" s="1135">
        <f>E144*D144</f>
        <v>0</v>
      </c>
    </row>
    <row r="145" spans="1:6" s="1169" customFormat="1" ht="11.25">
      <c r="A145" s="1170"/>
      <c r="B145" s="1142"/>
      <c r="C145" s="1142"/>
      <c r="D145" s="1143"/>
      <c r="E145" s="1258"/>
      <c r="F145" s="1135"/>
    </row>
    <row r="146" spans="1:6" ht="135">
      <c r="A146" s="1130">
        <f>A141+0.001</f>
        <v>1.4019999999999999</v>
      </c>
      <c r="B146" s="1142" t="s">
        <v>2306</v>
      </c>
      <c r="C146" s="1172"/>
      <c r="D146" s="1159"/>
      <c r="E146" s="1260"/>
      <c r="F146" s="1171"/>
    </row>
    <row r="147" spans="1:6" s="1169" customFormat="1" ht="11.25">
      <c r="A147" s="1170"/>
      <c r="B147" s="1142" t="s">
        <v>2307</v>
      </c>
      <c r="C147" s="1142"/>
      <c r="D147" s="1143"/>
      <c r="E147" s="1260"/>
      <c r="F147" s="1171"/>
    </row>
    <row r="148" spans="1:6" s="1169" customFormat="1" ht="11.25">
      <c r="A148" s="1170"/>
      <c r="B148" s="1142" t="s">
        <v>2308</v>
      </c>
      <c r="C148" s="1142" t="s">
        <v>2243</v>
      </c>
      <c r="D148" s="1143">
        <v>11</v>
      </c>
      <c r="E148" s="1258"/>
      <c r="F148" s="1135">
        <f>E148*D148</f>
        <v>0</v>
      </c>
    </row>
    <row r="149" spans="1:6" s="1169" customFormat="1" ht="11.25">
      <c r="A149" s="1170"/>
      <c r="B149" s="1142"/>
      <c r="C149" s="1142"/>
      <c r="D149" s="1143"/>
      <c r="E149" s="1259"/>
      <c r="F149" s="1173"/>
    </row>
    <row r="150" spans="1:6" s="1169" customFormat="1" ht="45">
      <c r="A150" s="1130">
        <f>A146+0.001</f>
        <v>1.403</v>
      </c>
      <c r="B150" s="1146" t="s">
        <v>2269</v>
      </c>
      <c r="C150" s="1147" t="s">
        <v>2243</v>
      </c>
      <c r="D150" s="1143">
        <v>26</v>
      </c>
      <c r="E150" s="1258"/>
      <c r="F150" s="1135">
        <f>E150*D150</f>
        <v>0</v>
      </c>
    </row>
    <row r="151" spans="1:6" s="1169" customFormat="1" ht="11.25">
      <c r="A151" s="1170"/>
      <c r="B151" s="1149"/>
      <c r="C151" s="1147"/>
      <c r="D151" s="1148"/>
      <c r="E151" s="1261"/>
      <c r="F151" s="1174"/>
    </row>
    <row r="152" spans="1:6" s="1169" customFormat="1" ht="56.25">
      <c r="A152" s="1130">
        <f>A150+0.001</f>
        <v>1.4039999999999999</v>
      </c>
      <c r="B152" s="1149" t="s">
        <v>2309</v>
      </c>
      <c r="C152" s="1147"/>
      <c r="D152" s="1143">
        <v>26</v>
      </c>
      <c r="E152" s="1258"/>
      <c r="F152" s="1135">
        <f>E152*D152</f>
        <v>0</v>
      </c>
    </row>
    <row r="153" spans="1:6" s="1169" customFormat="1" ht="11.25">
      <c r="A153" s="1170"/>
      <c r="B153" s="1149"/>
      <c r="C153" s="1147"/>
      <c r="D153" s="1148"/>
      <c r="E153" s="1261"/>
      <c r="F153" s="1174"/>
    </row>
    <row r="154" spans="1:6" s="1169" customFormat="1" ht="22.5">
      <c r="A154" s="1130">
        <f>A152+0.001</f>
        <v>1.405</v>
      </c>
      <c r="B154" s="1149" t="s">
        <v>2271</v>
      </c>
      <c r="C154" s="1147" t="s">
        <v>2243</v>
      </c>
      <c r="D154" s="1143">
        <v>26</v>
      </c>
      <c r="E154" s="1258"/>
      <c r="F154" s="1135">
        <f>E154*D154</f>
        <v>0</v>
      </c>
    </row>
    <row r="155" spans="1:6" s="1169" customFormat="1" ht="11.25">
      <c r="A155" s="1130"/>
      <c r="B155" s="1149"/>
      <c r="C155" s="1147"/>
      <c r="D155" s="1148"/>
      <c r="E155" s="1260"/>
      <c r="F155" s="1171"/>
    </row>
    <row r="156" spans="1:6" s="1169" customFormat="1" ht="12" thickBot="1">
      <c r="A156" s="1130"/>
      <c r="B156" s="1149"/>
      <c r="C156" s="1147"/>
      <c r="D156" s="1148"/>
      <c r="E156" s="1260"/>
      <c r="F156" s="1171"/>
    </row>
    <row r="157" spans="1:6" ht="15.75" thickBot="1">
      <c r="A157" s="1127">
        <f>A140+0.1</f>
        <v>1.5</v>
      </c>
      <c r="B157" s="1128" t="s">
        <v>2310</v>
      </c>
      <c r="C157" s="1162"/>
      <c r="D157" s="1162"/>
      <c r="E157" s="1257"/>
      <c r="F157" s="1163"/>
    </row>
    <row r="158" spans="1:6" s="1169" customFormat="1" ht="56.25">
      <c r="A158" s="1130">
        <f>A157+0.001</f>
        <v>1.5009999999999999</v>
      </c>
      <c r="B158" s="1175" t="s">
        <v>2311</v>
      </c>
      <c r="C158" s="1142" t="s">
        <v>2243</v>
      </c>
      <c r="D158" s="1176">
        <v>8</v>
      </c>
      <c r="E158" s="1258"/>
      <c r="F158" s="1135">
        <f>E158*D158</f>
        <v>0</v>
      </c>
    </row>
    <row r="159" spans="1:6" s="1169" customFormat="1" ht="11.25">
      <c r="A159" s="1170"/>
      <c r="B159" s="1175" t="s">
        <v>2312</v>
      </c>
      <c r="C159" s="1142"/>
      <c r="D159" s="1143"/>
      <c r="E159" s="1260"/>
      <c r="F159" s="1171"/>
    </row>
    <row r="160" spans="1:6" s="1169" customFormat="1" ht="11.25">
      <c r="A160" s="1170"/>
      <c r="B160" s="1175" t="s">
        <v>2313</v>
      </c>
      <c r="E160" s="58"/>
    </row>
    <row r="161" spans="1:6" s="1169" customFormat="1" ht="11.25">
      <c r="A161" s="1170"/>
      <c r="B161" s="1175" t="s">
        <v>2314</v>
      </c>
      <c r="C161" s="1142"/>
      <c r="D161" s="1143"/>
      <c r="E161" s="1258"/>
      <c r="F161" s="1135"/>
    </row>
    <row r="162" spans="1:6" s="1169" customFormat="1" ht="11.25">
      <c r="A162" s="1170"/>
      <c r="B162" s="1175" t="s">
        <v>2315</v>
      </c>
      <c r="C162" s="1142"/>
      <c r="D162" s="1143"/>
      <c r="E162" s="1258"/>
      <c r="F162" s="1135"/>
    </row>
    <row r="163" spans="1:6">
      <c r="B163" s="1175" t="s">
        <v>2316</v>
      </c>
      <c r="C163" s="1172"/>
      <c r="D163" s="1159"/>
      <c r="E163" s="1260"/>
      <c r="F163" s="1171"/>
    </row>
    <row r="164" spans="1:6" s="1169" customFormat="1" ht="11.25">
      <c r="A164" s="1170"/>
      <c r="B164" s="1175" t="s">
        <v>2317</v>
      </c>
      <c r="C164" s="1142"/>
      <c r="D164" s="1143"/>
      <c r="E164" s="1260"/>
      <c r="F164" s="1171"/>
    </row>
    <row r="165" spans="1:6" s="1169" customFormat="1" ht="11.25">
      <c r="A165" s="1170"/>
      <c r="B165" s="1175" t="s">
        <v>2318</v>
      </c>
      <c r="C165" s="1142"/>
      <c r="D165" s="1143"/>
      <c r="E165" s="1258"/>
      <c r="F165" s="1135"/>
    </row>
    <row r="166" spans="1:6" s="1169" customFormat="1" ht="11.25">
      <c r="A166" s="1170"/>
      <c r="B166" s="1175" t="s">
        <v>2319</v>
      </c>
      <c r="C166" s="1142"/>
      <c r="D166" s="1143"/>
      <c r="E166" s="1259"/>
      <c r="F166" s="1173"/>
    </row>
    <row r="167" spans="1:6" s="1169" customFormat="1" ht="11.25">
      <c r="A167" s="1130"/>
      <c r="B167" s="1175" t="s">
        <v>2320</v>
      </c>
      <c r="C167" s="1147"/>
      <c r="D167" s="1143"/>
      <c r="E167" s="1258"/>
      <c r="F167" s="1135"/>
    </row>
    <row r="168" spans="1:6" s="1169" customFormat="1" ht="11.25">
      <c r="A168" s="1130"/>
      <c r="B168" s="1149"/>
      <c r="C168" s="1147"/>
      <c r="D168" s="1148"/>
      <c r="E168" s="1260"/>
      <c r="F168" s="1171"/>
    </row>
    <row r="169" spans="1:6" s="1169" customFormat="1" ht="56.25">
      <c r="A169" s="1130">
        <f>A158+0.001</f>
        <v>1.502</v>
      </c>
      <c r="B169" s="1175" t="s">
        <v>2321</v>
      </c>
      <c r="C169" s="1142" t="s">
        <v>2243</v>
      </c>
      <c r="D169" s="1176">
        <v>12</v>
      </c>
      <c r="E169" s="1258"/>
      <c r="F169" s="1135">
        <f>E169*D169</f>
        <v>0</v>
      </c>
    </row>
    <row r="170" spans="1:6" s="1169" customFormat="1" ht="11.25">
      <c r="A170" s="1170"/>
      <c r="B170" s="1175" t="s">
        <v>2322</v>
      </c>
      <c r="C170" s="1142"/>
      <c r="D170" s="1143"/>
      <c r="E170" s="1260"/>
      <c r="F170" s="1171"/>
    </row>
    <row r="171" spans="1:6" s="1169" customFormat="1" ht="11.25">
      <c r="A171" s="1170"/>
      <c r="B171" s="1175" t="s">
        <v>2323</v>
      </c>
      <c r="E171" s="58"/>
    </row>
    <row r="172" spans="1:6" s="1169" customFormat="1" ht="11.25">
      <c r="A172" s="1170"/>
      <c r="B172" s="1175" t="s">
        <v>2324</v>
      </c>
      <c r="C172" s="1142"/>
      <c r="D172" s="1143"/>
      <c r="E172" s="1258"/>
      <c r="F172" s="1135"/>
    </row>
    <row r="173" spans="1:6" s="1169" customFormat="1" ht="11.25">
      <c r="A173" s="1170"/>
      <c r="B173" s="1175" t="s">
        <v>2325</v>
      </c>
      <c r="C173" s="1142"/>
      <c r="D173" s="1143"/>
      <c r="E173" s="1258"/>
      <c r="F173" s="1135"/>
    </row>
    <row r="174" spans="1:6" s="1169" customFormat="1" ht="12" thickBot="1">
      <c r="A174" s="1130"/>
      <c r="B174" s="1149"/>
      <c r="C174" s="1147"/>
      <c r="D174" s="1148"/>
      <c r="E174" s="1260"/>
      <c r="F174" s="1171"/>
    </row>
    <row r="175" spans="1:6" ht="15.75" thickBot="1">
      <c r="A175" s="1127">
        <f>A157+0.1</f>
        <v>1.6</v>
      </c>
      <c r="B175" s="1128" t="s">
        <v>2326</v>
      </c>
      <c r="C175" s="1162"/>
      <c r="D175" s="1162"/>
      <c r="E175" s="1257"/>
      <c r="F175" s="1163"/>
    </row>
    <row r="176" spans="1:6" ht="225.75">
      <c r="A176" s="1130">
        <f>A175+0.001</f>
        <v>1.601</v>
      </c>
      <c r="B176" s="1139" t="s">
        <v>2327</v>
      </c>
      <c r="C176" s="1132" t="s">
        <v>2243</v>
      </c>
      <c r="D176" s="1177">
        <v>5</v>
      </c>
      <c r="E176" s="1254"/>
      <c r="F176" s="1135">
        <f>E176*D176</f>
        <v>0</v>
      </c>
    </row>
    <row r="177" spans="2:6" ht="57">
      <c r="B177" s="1139" t="s">
        <v>2328</v>
      </c>
      <c r="E177" s="1262"/>
      <c r="F177" s="1178"/>
    </row>
    <row r="178" spans="2:6" ht="90.75">
      <c r="B178" s="1139" t="s">
        <v>2329</v>
      </c>
      <c r="E178" s="1262"/>
      <c r="F178" s="1178"/>
    </row>
    <row r="179" spans="2:6" ht="34.5">
      <c r="B179" s="1139" t="s">
        <v>2330</v>
      </c>
      <c r="E179" s="1262"/>
      <c r="F179" s="1178"/>
    </row>
    <row r="180" spans="2:6" ht="23.25">
      <c r="B180" s="1139" t="s">
        <v>2331</v>
      </c>
      <c r="E180" s="1262"/>
      <c r="F180" s="1178"/>
    </row>
    <row r="181" spans="2:6" ht="34.5">
      <c r="B181" s="1139" t="s">
        <v>2332</v>
      </c>
      <c r="E181" s="1262"/>
      <c r="F181" s="1178"/>
    </row>
    <row r="182" spans="2:6">
      <c r="B182" s="1139" t="s">
        <v>2333</v>
      </c>
      <c r="E182" s="1262"/>
      <c r="F182" s="1178"/>
    </row>
    <row r="183" spans="2:6">
      <c r="B183" s="1139" t="s">
        <v>2334</v>
      </c>
      <c r="E183" s="1262"/>
      <c r="F183" s="1178"/>
    </row>
    <row r="184" spans="2:6">
      <c r="B184" s="1139" t="s">
        <v>2335</v>
      </c>
      <c r="E184" s="1262"/>
      <c r="F184" s="1178"/>
    </row>
    <row r="185" spans="2:6">
      <c r="B185" s="1139" t="s">
        <v>2336</v>
      </c>
      <c r="E185" s="1262"/>
      <c r="F185" s="1178"/>
    </row>
    <row r="186" spans="2:6">
      <c r="B186" s="1139" t="s">
        <v>2337</v>
      </c>
      <c r="E186" s="1262"/>
      <c r="F186" s="1178"/>
    </row>
    <row r="187" spans="2:6">
      <c r="B187" s="1139" t="s">
        <v>2338</v>
      </c>
      <c r="E187" s="1262"/>
      <c r="F187" s="1178"/>
    </row>
    <row r="188" spans="2:6">
      <c r="B188" s="1139" t="s">
        <v>2339</v>
      </c>
      <c r="E188" s="1262"/>
      <c r="F188" s="1178"/>
    </row>
    <row r="189" spans="2:6">
      <c r="B189" s="1139" t="s">
        <v>2340</v>
      </c>
      <c r="E189" s="1262"/>
      <c r="F189" s="1178"/>
    </row>
    <row r="190" spans="2:6">
      <c r="B190" s="1139" t="s">
        <v>2341</v>
      </c>
      <c r="E190" s="1262"/>
      <c r="F190" s="1178"/>
    </row>
    <row r="191" spans="2:6" ht="23.25">
      <c r="B191" s="1139" t="s">
        <v>2342</v>
      </c>
      <c r="E191" s="1262"/>
      <c r="F191" s="1178"/>
    </row>
    <row r="192" spans="2:6" ht="23.25">
      <c r="B192" s="1139" t="s">
        <v>2343</v>
      </c>
      <c r="E192" s="1262"/>
      <c r="F192" s="1178"/>
    </row>
    <row r="193" spans="1:6" ht="23.25">
      <c r="B193" s="1139" t="s">
        <v>2344</v>
      </c>
      <c r="E193" s="1262"/>
      <c r="F193" s="1178"/>
    </row>
    <row r="194" spans="1:6" ht="23.25">
      <c r="B194" s="1139" t="s">
        <v>2345</v>
      </c>
      <c r="E194" s="1262"/>
      <c r="F194" s="1178"/>
    </row>
    <row r="195" spans="1:6" ht="23.25">
      <c r="B195" s="1139" t="s">
        <v>2346</v>
      </c>
      <c r="E195" s="1262"/>
      <c r="F195" s="1178"/>
    </row>
    <row r="196" spans="1:6" ht="23.25">
      <c r="B196" s="1139" t="s">
        <v>2347</v>
      </c>
      <c r="E196" s="1262"/>
      <c r="F196" s="1178"/>
    </row>
    <row r="197" spans="1:6" ht="23.25">
      <c r="B197" s="1139" t="s">
        <v>2348</v>
      </c>
      <c r="E197" s="1262"/>
      <c r="F197" s="1178"/>
    </row>
    <row r="198" spans="1:6">
      <c r="B198" s="1139" t="s">
        <v>2349</v>
      </c>
      <c r="E198" s="1262"/>
      <c r="F198" s="1178"/>
    </row>
    <row r="199" spans="1:6">
      <c r="B199" s="1139" t="s">
        <v>2350</v>
      </c>
      <c r="E199" s="1262"/>
      <c r="F199" s="1178"/>
    </row>
    <row r="200" spans="1:6">
      <c r="B200" s="1139" t="s">
        <v>2351</v>
      </c>
      <c r="E200" s="1262"/>
      <c r="F200" s="1178"/>
    </row>
    <row r="201" spans="1:6">
      <c r="B201" s="1139" t="s">
        <v>2352</v>
      </c>
      <c r="E201" s="1262"/>
      <c r="F201" s="1178"/>
    </row>
    <row r="202" spans="1:6">
      <c r="B202" s="1139" t="s">
        <v>2353</v>
      </c>
      <c r="E202" s="1262"/>
      <c r="F202" s="1178"/>
    </row>
    <row r="203" spans="1:6">
      <c r="B203" s="1139" t="s">
        <v>2354</v>
      </c>
      <c r="E203" s="1262"/>
      <c r="F203" s="1178"/>
    </row>
    <row r="204" spans="1:6">
      <c r="B204" s="1139" t="s">
        <v>2355</v>
      </c>
      <c r="E204" s="1262"/>
      <c r="F204" s="1178"/>
    </row>
    <row r="205" spans="1:6">
      <c r="B205" s="1139" t="s">
        <v>2356</v>
      </c>
      <c r="E205" s="1262"/>
      <c r="F205" s="1178"/>
    </row>
    <row r="206" spans="1:6">
      <c r="B206" s="1139"/>
      <c r="E206" s="1262"/>
      <c r="F206" s="1178"/>
    </row>
    <row r="207" spans="1:6" ht="203.25">
      <c r="A207" s="1130">
        <f>A176+0.001</f>
        <v>1.6020000000000001</v>
      </c>
      <c r="B207" s="1139" t="s">
        <v>2357</v>
      </c>
      <c r="C207" s="1132" t="s">
        <v>2243</v>
      </c>
      <c r="D207" s="1177">
        <v>1</v>
      </c>
      <c r="E207" s="1254"/>
      <c r="F207" s="1135">
        <f>E207*D207</f>
        <v>0</v>
      </c>
    </row>
    <row r="208" spans="1:6">
      <c r="B208" s="1139" t="s">
        <v>2358</v>
      </c>
      <c r="E208" s="1262"/>
      <c r="F208" s="1178"/>
    </row>
    <row r="209" spans="2:6" ht="23.25">
      <c r="B209" s="1139" t="s">
        <v>2359</v>
      </c>
      <c r="E209" s="1262"/>
      <c r="F209" s="1178"/>
    </row>
    <row r="210" spans="2:6">
      <c r="B210" s="1139" t="s">
        <v>2360</v>
      </c>
      <c r="E210" s="1262"/>
      <c r="F210" s="1178"/>
    </row>
    <row r="211" spans="2:6" ht="23.25">
      <c r="B211" s="1139" t="s">
        <v>2361</v>
      </c>
      <c r="E211" s="1262"/>
      <c r="F211" s="1178"/>
    </row>
    <row r="212" spans="2:6">
      <c r="B212" s="1139" t="s">
        <v>2362</v>
      </c>
      <c r="E212" s="1262"/>
      <c r="F212" s="1178"/>
    </row>
    <row r="213" spans="2:6">
      <c r="B213" s="1139" t="s">
        <v>2363</v>
      </c>
      <c r="E213" s="1262"/>
      <c r="F213" s="1178"/>
    </row>
    <row r="214" spans="2:6">
      <c r="B214" s="1139" t="s">
        <v>2364</v>
      </c>
      <c r="E214" s="1262"/>
      <c r="F214" s="1178"/>
    </row>
    <row r="215" spans="2:6">
      <c r="B215" s="1139" t="s">
        <v>2365</v>
      </c>
      <c r="E215" s="1262"/>
      <c r="F215" s="1178"/>
    </row>
    <row r="216" spans="2:6">
      <c r="B216" s="1139" t="s">
        <v>2366</v>
      </c>
      <c r="E216" s="1262"/>
      <c r="F216" s="1178"/>
    </row>
    <row r="217" spans="2:6">
      <c r="B217" s="1139" t="s">
        <v>2367</v>
      </c>
      <c r="E217" s="1262"/>
      <c r="F217" s="1178"/>
    </row>
    <row r="218" spans="2:6">
      <c r="B218" s="1139" t="s">
        <v>2368</v>
      </c>
      <c r="E218" s="1262"/>
      <c r="F218" s="1178"/>
    </row>
    <row r="219" spans="2:6">
      <c r="B219" s="1139" t="s">
        <v>2369</v>
      </c>
      <c r="E219" s="1262"/>
      <c r="F219" s="1178"/>
    </row>
    <row r="220" spans="2:6" ht="23.25">
      <c r="B220" s="1139" t="s">
        <v>2370</v>
      </c>
      <c r="E220" s="1262"/>
      <c r="F220" s="1178"/>
    </row>
    <row r="221" spans="2:6">
      <c r="B221" s="1139" t="s">
        <v>2371</v>
      </c>
      <c r="E221" s="1262"/>
      <c r="F221" s="1178"/>
    </row>
    <row r="222" spans="2:6" ht="23.25">
      <c r="B222" s="1139" t="s">
        <v>2372</v>
      </c>
      <c r="E222" s="1262"/>
      <c r="F222" s="1178"/>
    </row>
    <row r="223" spans="2:6" ht="23.25">
      <c r="B223" s="1139" t="s">
        <v>2373</v>
      </c>
      <c r="E223" s="1262"/>
      <c r="F223" s="1178"/>
    </row>
    <row r="224" spans="2:6">
      <c r="B224" s="1139"/>
      <c r="E224" s="1262"/>
      <c r="F224" s="1178"/>
    </row>
    <row r="225" spans="1:6">
      <c r="B225" s="1139"/>
      <c r="E225" s="1262"/>
      <c r="F225" s="1178"/>
    </row>
    <row r="226" spans="1:6">
      <c r="A226" s="1130">
        <f>A207+0.001</f>
        <v>1.603</v>
      </c>
      <c r="B226" s="1139" t="s">
        <v>2374</v>
      </c>
      <c r="C226" s="1132" t="s">
        <v>2243</v>
      </c>
      <c r="D226" s="1177">
        <v>5</v>
      </c>
      <c r="E226" s="1254"/>
      <c r="F226" s="1135">
        <f>E226*D226</f>
        <v>0</v>
      </c>
    </row>
    <row r="227" spans="1:6" ht="34.5">
      <c r="B227" s="1139" t="s">
        <v>2375</v>
      </c>
      <c r="E227" s="1262"/>
      <c r="F227" s="1178"/>
    </row>
    <row r="228" spans="1:6" ht="23.25">
      <c r="B228" s="1139" t="s">
        <v>2376</v>
      </c>
      <c r="E228" s="1262"/>
      <c r="F228" s="1178"/>
    </row>
    <row r="229" spans="1:6">
      <c r="B229" s="1139" t="s">
        <v>2377</v>
      </c>
      <c r="E229" s="1262"/>
      <c r="F229" s="1178"/>
    </row>
    <row r="230" spans="1:6">
      <c r="B230" s="1139" t="s">
        <v>2378</v>
      </c>
      <c r="E230" s="1262"/>
      <c r="F230" s="1178"/>
    </row>
    <row r="231" spans="1:6">
      <c r="B231" s="1139" t="s">
        <v>2379</v>
      </c>
      <c r="E231" s="1262"/>
      <c r="F231" s="1178"/>
    </row>
    <row r="232" spans="1:6">
      <c r="B232" s="1139" t="s">
        <v>2380</v>
      </c>
      <c r="E232" s="1262"/>
      <c r="F232" s="1178"/>
    </row>
    <row r="233" spans="1:6">
      <c r="B233" s="1139" t="s">
        <v>2381</v>
      </c>
      <c r="E233" s="1262"/>
      <c r="F233" s="1178"/>
    </row>
    <row r="234" spans="1:6">
      <c r="B234" s="1139"/>
      <c r="E234" s="1262"/>
      <c r="F234" s="1178"/>
    </row>
    <row r="235" spans="1:6">
      <c r="A235" s="1130">
        <f>A226+0.001</f>
        <v>1.6040000000000001</v>
      </c>
      <c r="B235" s="1139" t="s">
        <v>2382</v>
      </c>
      <c r="C235" s="1132" t="s">
        <v>2243</v>
      </c>
      <c r="D235" s="1177">
        <v>1</v>
      </c>
      <c r="E235" s="1254"/>
      <c r="F235" s="1135">
        <f>E235*D235</f>
        <v>0</v>
      </c>
    </row>
    <row r="236" spans="1:6">
      <c r="B236" s="1139"/>
      <c r="E236" s="1262"/>
      <c r="F236" s="1178"/>
    </row>
    <row r="237" spans="1:6">
      <c r="A237" s="1130">
        <f>A235+0.001</f>
        <v>1.605</v>
      </c>
      <c r="B237" s="1139" t="s">
        <v>2383</v>
      </c>
      <c r="C237" s="1132" t="s">
        <v>2243</v>
      </c>
      <c r="D237" s="1177">
        <v>10</v>
      </c>
      <c r="E237" s="1254"/>
      <c r="F237" s="1135">
        <f>E237*D237</f>
        <v>0</v>
      </c>
    </row>
    <row r="238" spans="1:6">
      <c r="D238" s="1140"/>
      <c r="E238" s="1263"/>
      <c r="F238" s="1178"/>
    </row>
    <row r="239" spans="1:6">
      <c r="A239" s="1130">
        <f>A237+0.001</f>
        <v>1.6060000000000001</v>
      </c>
      <c r="B239" s="1139" t="s">
        <v>2384</v>
      </c>
      <c r="C239" s="1132" t="s">
        <v>2243</v>
      </c>
      <c r="D239" s="1140">
        <v>1</v>
      </c>
      <c r="E239" s="1254"/>
      <c r="F239" s="1135">
        <f>E239*D239</f>
        <v>0</v>
      </c>
    </row>
    <row r="240" spans="1:6">
      <c r="B240" s="1139" t="s">
        <v>2385</v>
      </c>
      <c r="C240" s="1132"/>
      <c r="D240" s="1140"/>
      <c r="E240" s="1254"/>
      <c r="F240" s="1135"/>
    </row>
    <row r="241" spans="1:6" ht="57">
      <c r="B241" s="1139" t="s">
        <v>2386</v>
      </c>
      <c r="C241" s="1132"/>
      <c r="D241" s="1140"/>
      <c r="E241" s="1254"/>
      <c r="F241" s="1135"/>
    </row>
    <row r="242" spans="1:6">
      <c r="B242" s="1139" t="s">
        <v>2387</v>
      </c>
      <c r="C242" s="1132"/>
      <c r="D242" s="1140"/>
      <c r="E242" s="1254"/>
      <c r="F242" s="1135"/>
    </row>
    <row r="243" spans="1:6">
      <c r="B243" s="1139" t="s">
        <v>2388</v>
      </c>
      <c r="C243" s="1132"/>
      <c r="D243" s="1140"/>
      <c r="E243" s="1254"/>
      <c r="F243" s="1135"/>
    </row>
    <row r="244" spans="1:6">
      <c r="B244" s="1139" t="s">
        <v>2389</v>
      </c>
      <c r="C244" s="1132"/>
      <c r="D244" s="1140"/>
      <c r="E244" s="1254"/>
      <c r="F244" s="1135"/>
    </row>
    <row r="245" spans="1:6">
      <c r="B245" s="1139" t="s">
        <v>2390</v>
      </c>
      <c r="C245" s="1132"/>
      <c r="D245" s="1140"/>
      <c r="E245" s="1254"/>
      <c r="F245" s="1135"/>
    </row>
    <row r="246" spans="1:6">
      <c r="B246" s="1139" t="s">
        <v>2391</v>
      </c>
      <c r="C246" s="1132"/>
      <c r="D246" s="1140"/>
      <c r="E246" s="1254"/>
      <c r="F246" s="1135"/>
    </row>
    <row r="247" spans="1:6">
      <c r="B247" s="1139"/>
      <c r="C247" s="1132"/>
      <c r="D247" s="1140"/>
      <c r="E247" s="1254"/>
      <c r="F247" s="1135"/>
    </row>
    <row r="248" spans="1:6" ht="57">
      <c r="A248" s="1130">
        <f>A239+0.001</f>
        <v>1.607</v>
      </c>
      <c r="B248" s="1179" t="s">
        <v>2392</v>
      </c>
      <c r="C248" s="1132" t="s">
        <v>2243</v>
      </c>
      <c r="D248" s="1140">
        <v>1</v>
      </c>
      <c r="E248" s="1254"/>
      <c r="F248" s="1135">
        <f>E248*D248</f>
        <v>0</v>
      </c>
    </row>
    <row r="249" spans="1:6">
      <c r="B249" s="1179"/>
      <c r="C249" s="1132"/>
      <c r="D249" s="1140"/>
      <c r="E249" s="1254"/>
      <c r="F249" s="1135"/>
    </row>
    <row r="250" spans="1:6" ht="79.5">
      <c r="A250" s="1130">
        <f>A248+0.001</f>
        <v>1.6080000000000001</v>
      </c>
      <c r="B250" s="1180" t="s">
        <v>2393</v>
      </c>
      <c r="C250" s="1132" t="s">
        <v>2243</v>
      </c>
      <c r="D250" s="1140">
        <v>26</v>
      </c>
      <c r="E250" s="1254"/>
      <c r="F250" s="1135">
        <f>E250*D250</f>
        <v>0</v>
      </c>
    </row>
    <row r="251" spans="1:6">
      <c r="B251" s="1179"/>
      <c r="C251" s="1132"/>
      <c r="D251" s="1140"/>
      <c r="E251" s="1254"/>
      <c r="F251" s="1135"/>
    </row>
    <row r="252" spans="1:6" ht="45.75">
      <c r="A252" s="1130">
        <f>A250+0.001</f>
        <v>1.609</v>
      </c>
      <c r="B252" s="1139" t="s">
        <v>2279</v>
      </c>
      <c r="C252" s="1132"/>
      <c r="D252" s="1140"/>
      <c r="E252" s="1254"/>
      <c r="F252" s="1135"/>
    </row>
    <row r="253" spans="1:6">
      <c r="B253" s="1139" t="s">
        <v>2394</v>
      </c>
      <c r="C253" s="1132" t="s">
        <v>1160</v>
      </c>
      <c r="D253" s="1140">
        <v>212</v>
      </c>
      <c r="E253" s="1254"/>
      <c r="F253" s="1135">
        <f>E253*D253</f>
        <v>0</v>
      </c>
    </row>
    <row r="254" spans="1:6">
      <c r="B254" s="1139" t="s">
        <v>2395</v>
      </c>
      <c r="C254" s="1132" t="s">
        <v>1160</v>
      </c>
      <c r="D254" s="1140">
        <v>88</v>
      </c>
      <c r="E254" s="1254"/>
      <c r="F254" s="1135">
        <f t="shared" ref="F254:F259" si="8">E254*D254</f>
        <v>0</v>
      </c>
    </row>
    <row r="255" spans="1:6">
      <c r="B255" s="1139" t="s">
        <v>2396</v>
      </c>
      <c r="C255" s="1132" t="s">
        <v>1160</v>
      </c>
      <c r="D255" s="1140">
        <v>125</v>
      </c>
      <c r="E255" s="1254"/>
      <c r="F255" s="1135">
        <f t="shared" si="8"/>
        <v>0</v>
      </c>
    </row>
    <row r="256" spans="1:6">
      <c r="B256" s="1139" t="s">
        <v>2397</v>
      </c>
      <c r="C256" s="1132" t="s">
        <v>1160</v>
      </c>
      <c r="D256" s="1140">
        <v>82</v>
      </c>
      <c r="E256" s="1254"/>
      <c r="F256" s="1135">
        <f t="shared" si="8"/>
        <v>0</v>
      </c>
    </row>
    <row r="257" spans="1:6">
      <c r="B257" s="1139" t="s">
        <v>2398</v>
      </c>
      <c r="C257" s="1132" t="s">
        <v>1160</v>
      </c>
      <c r="D257" s="1140">
        <v>54</v>
      </c>
      <c r="E257" s="1254"/>
      <c r="F257" s="1135">
        <f t="shared" si="8"/>
        <v>0</v>
      </c>
    </row>
    <row r="258" spans="1:6">
      <c r="B258" s="1139" t="s">
        <v>2399</v>
      </c>
      <c r="C258" s="1132" t="s">
        <v>1160</v>
      </c>
      <c r="D258" s="1140">
        <v>92</v>
      </c>
      <c r="E258" s="1254"/>
      <c r="F258" s="1135">
        <f t="shared" si="8"/>
        <v>0</v>
      </c>
    </row>
    <row r="259" spans="1:6">
      <c r="B259" s="1139" t="s">
        <v>2400</v>
      </c>
      <c r="C259" s="1132" t="s">
        <v>1160</v>
      </c>
      <c r="D259" s="1140">
        <v>112</v>
      </c>
      <c r="E259" s="1254"/>
      <c r="F259" s="1135">
        <f t="shared" si="8"/>
        <v>0</v>
      </c>
    </row>
    <row r="260" spans="1:6">
      <c r="B260" s="1139"/>
      <c r="C260" s="1132"/>
      <c r="D260" s="1140"/>
      <c r="E260" s="1254"/>
      <c r="F260" s="1135"/>
    </row>
    <row r="261" spans="1:6" ht="203.25">
      <c r="A261" s="1130">
        <f>A252+0.001</f>
        <v>1.61</v>
      </c>
      <c r="B261" s="1139" t="s">
        <v>2401</v>
      </c>
      <c r="C261" s="1132"/>
      <c r="D261" s="1140"/>
      <c r="E261" s="1254"/>
      <c r="F261" s="1135"/>
    </row>
    <row r="262" spans="1:6">
      <c r="B262" s="1139" t="s">
        <v>2394</v>
      </c>
      <c r="C262" s="1132" t="s">
        <v>1160</v>
      </c>
      <c r="D262" s="1140">
        <v>212</v>
      </c>
      <c r="E262" s="1254"/>
      <c r="F262" s="1135">
        <f>E262*D262</f>
        <v>0</v>
      </c>
    </row>
    <row r="263" spans="1:6">
      <c r="B263" s="1139" t="s">
        <v>2395</v>
      </c>
      <c r="C263" s="1132" t="s">
        <v>1160</v>
      </c>
      <c r="D263" s="1140">
        <v>88</v>
      </c>
      <c r="E263" s="1254"/>
      <c r="F263" s="1135">
        <f t="shared" ref="F263:F269" si="9">E263*D263</f>
        <v>0</v>
      </c>
    </row>
    <row r="264" spans="1:6">
      <c r="B264" s="1139" t="s">
        <v>2396</v>
      </c>
      <c r="C264" s="1132" t="s">
        <v>1160</v>
      </c>
      <c r="D264" s="1140">
        <v>125</v>
      </c>
      <c r="E264" s="1254"/>
      <c r="F264" s="1135">
        <f t="shared" si="9"/>
        <v>0</v>
      </c>
    </row>
    <row r="265" spans="1:6">
      <c r="B265" s="1139" t="s">
        <v>2397</v>
      </c>
      <c r="C265" s="1132" t="s">
        <v>1160</v>
      </c>
      <c r="D265" s="1140">
        <v>82</v>
      </c>
      <c r="E265" s="1254"/>
      <c r="F265" s="1135">
        <f t="shared" si="9"/>
        <v>0</v>
      </c>
    </row>
    <row r="266" spans="1:6">
      <c r="B266" s="1139" t="s">
        <v>2398</v>
      </c>
      <c r="C266" s="1132" t="s">
        <v>1160</v>
      </c>
      <c r="D266" s="1140">
        <v>54</v>
      </c>
      <c r="E266" s="1254"/>
      <c r="F266" s="1135">
        <f t="shared" si="9"/>
        <v>0</v>
      </c>
    </row>
    <row r="267" spans="1:6">
      <c r="B267" s="1139" t="s">
        <v>2399</v>
      </c>
      <c r="C267" s="1132" t="s">
        <v>1160</v>
      </c>
      <c r="D267" s="1140">
        <v>92</v>
      </c>
      <c r="E267" s="1254"/>
      <c r="F267" s="1135">
        <f t="shared" si="9"/>
        <v>0</v>
      </c>
    </row>
    <row r="268" spans="1:6">
      <c r="B268" s="1139" t="s">
        <v>2400</v>
      </c>
      <c r="C268" s="1132" t="s">
        <v>1160</v>
      </c>
      <c r="D268" s="1140">
        <v>112</v>
      </c>
      <c r="E268" s="1254"/>
      <c r="F268" s="1135">
        <f t="shared" si="9"/>
        <v>0</v>
      </c>
    </row>
    <row r="269" spans="1:6">
      <c r="B269" s="1139" t="s">
        <v>2402</v>
      </c>
      <c r="C269" s="1132" t="s">
        <v>1160</v>
      </c>
      <c r="D269" s="1140">
        <v>65</v>
      </c>
      <c r="E269" s="1254"/>
      <c r="F269" s="1135">
        <f t="shared" si="9"/>
        <v>0</v>
      </c>
    </row>
    <row r="270" spans="1:6">
      <c r="B270" s="1139"/>
      <c r="C270" s="1141"/>
      <c r="D270" s="1140"/>
      <c r="E270" s="1254"/>
      <c r="F270" s="1135"/>
    </row>
    <row r="271" spans="1:6" ht="23.25">
      <c r="A271" s="1130">
        <f>A261+0.001</f>
        <v>1.611</v>
      </c>
      <c r="B271" s="1139" t="s">
        <v>2403</v>
      </c>
      <c r="C271" s="1132"/>
      <c r="D271" s="1140"/>
      <c r="E271" s="1254"/>
      <c r="F271" s="1135"/>
    </row>
    <row r="272" spans="1:6">
      <c r="B272" s="1139" t="s">
        <v>2404</v>
      </c>
      <c r="C272" s="1132"/>
      <c r="D272" s="1140"/>
      <c r="E272" s="1254"/>
      <c r="F272" s="1135"/>
    </row>
    <row r="273" spans="1:6">
      <c r="B273" s="1139" t="s">
        <v>2405</v>
      </c>
      <c r="C273" s="1132"/>
      <c r="D273" s="1140"/>
      <c r="E273" s="1254"/>
      <c r="F273" s="1135"/>
    </row>
    <row r="274" spans="1:6">
      <c r="B274" s="1139" t="s">
        <v>2406</v>
      </c>
      <c r="C274" s="1132"/>
      <c r="D274" s="1140"/>
      <c r="E274" s="1254"/>
      <c r="F274" s="1135"/>
    </row>
    <row r="275" spans="1:6">
      <c r="B275" s="1139" t="s">
        <v>2407</v>
      </c>
      <c r="C275" s="1132"/>
      <c r="D275" s="1140"/>
      <c r="E275" s="1254"/>
      <c r="F275" s="1135"/>
    </row>
    <row r="276" spans="1:6">
      <c r="B276" s="1139" t="s">
        <v>2408</v>
      </c>
      <c r="C276" s="1132"/>
      <c r="D276" s="1140"/>
      <c r="E276" s="1254"/>
      <c r="F276" s="1135"/>
    </row>
    <row r="277" spans="1:6">
      <c r="B277" s="1139" t="s">
        <v>2409</v>
      </c>
      <c r="C277" s="1132" t="s">
        <v>34</v>
      </c>
      <c r="D277" s="1140">
        <v>1</v>
      </c>
      <c r="E277" s="1254"/>
      <c r="F277" s="1135">
        <f t="shared" ref="F277" si="10">E277*D277</f>
        <v>0</v>
      </c>
    </row>
    <row r="278" spans="1:6">
      <c r="B278" s="1139"/>
      <c r="C278" s="1132"/>
      <c r="D278" s="1140"/>
      <c r="E278" s="1254"/>
      <c r="F278" s="1135"/>
    </row>
    <row r="279" spans="1:6" ht="57">
      <c r="A279" s="1130">
        <f>A271+0.001</f>
        <v>1.6120000000000001</v>
      </c>
      <c r="B279" s="1139" t="s">
        <v>2410</v>
      </c>
      <c r="C279" s="1132" t="s">
        <v>34</v>
      </c>
      <c r="D279" s="1140">
        <v>1</v>
      </c>
      <c r="E279" s="1254"/>
      <c r="F279" s="1135">
        <f t="shared" ref="F279" si="11">E279*D279</f>
        <v>0</v>
      </c>
    </row>
    <row r="280" spans="1:6">
      <c r="B280" s="1139" t="s">
        <v>2411</v>
      </c>
      <c r="E280" s="1264"/>
    </row>
    <row r="281" spans="1:6">
      <c r="B281" s="1139"/>
      <c r="C281" s="1132"/>
      <c r="D281" s="1140"/>
      <c r="E281" s="1254"/>
      <c r="F281" s="1135"/>
    </row>
    <row r="282" spans="1:6" ht="102">
      <c r="A282" s="1130">
        <f>A279+0.001</f>
        <v>1.613</v>
      </c>
      <c r="B282" s="1139" t="s">
        <v>2412</v>
      </c>
      <c r="C282" s="1132" t="s">
        <v>34</v>
      </c>
      <c r="D282" s="1140">
        <v>1</v>
      </c>
      <c r="E282" s="1254"/>
      <c r="F282" s="1135">
        <f t="shared" ref="F282" si="12">E282*D282</f>
        <v>0</v>
      </c>
    </row>
    <row r="283" spans="1:6">
      <c r="B283" s="1139"/>
      <c r="C283" s="1132"/>
      <c r="D283" s="1140"/>
      <c r="E283" s="1254"/>
      <c r="F283" s="1135"/>
    </row>
    <row r="284" spans="1:6" ht="90.75">
      <c r="A284" s="1130">
        <f>A282+0.001</f>
        <v>1.6140000000000001</v>
      </c>
      <c r="B284" s="1139" t="s">
        <v>2413</v>
      </c>
      <c r="C284" s="1132"/>
      <c r="D284" s="1140"/>
      <c r="E284" s="1254"/>
      <c r="F284" s="1135"/>
    </row>
    <row r="285" spans="1:6">
      <c r="B285" s="1139" t="s">
        <v>2414</v>
      </c>
      <c r="C285" s="1132" t="s">
        <v>34</v>
      </c>
      <c r="D285" s="1140">
        <v>1</v>
      </c>
      <c r="E285" s="1254"/>
      <c r="F285" s="1135">
        <f t="shared" ref="F285" si="13">E285*D285</f>
        <v>0</v>
      </c>
    </row>
    <row r="286" spans="1:6">
      <c r="B286" s="1139"/>
      <c r="C286" s="1132"/>
      <c r="D286" s="1140"/>
      <c r="E286" s="1254"/>
      <c r="F286" s="1135"/>
    </row>
    <row r="287" spans="1:6" ht="34.5">
      <c r="A287" s="1130">
        <f>A284+0.001</f>
        <v>1.615</v>
      </c>
      <c r="B287" s="1139" t="s">
        <v>2254</v>
      </c>
      <c r="C287" s="1132"/>
      <c r="D287" s="1140"/>
      <c r="E287" s="1254"/>
      <c r="F287" s="1135"/>
    </row>
    <row r="288" spans="1:6">
      <c r="B288" s="1139" t="s">
        <v>2273</v>
      </c>
      <c r="C288" s="1132" t="s">
        <v>34</v>
      </c>
      <c r="D288" s="1140">
        <v>8</v>
      </c>
      <c r="E288" s="1254"/>
      <c r="F288" s="1135">
        <f t="shared" ref="F288" si="14">E288*D288</f>
        <v>0</v>
      </c>
    </row>
    <row r="289" spans="1:6">
      <c r="B289" s="1139"/>
      <c r="C289" s="1132"/>
      <c r="D289" s="1140"/>
      <c r="E289" s="1254"/>
      <c r="F289" s="1135"/>
    </row>
    <row r="290" spans="1:6" ht="23.25">
      <c r="A290" s="1130">
        <f>A287+0.001</f>
        <v>1.6160000000000001</v>
      </c>
      <c r="B290" s="1139" t="s">
        <v>2415</v>
      </c>
      <c r="C290" s="1132"/>
      <c r="D290" s="1140"/>
      <c r="E290" s="1254"/>
      <c r="F290" s="1135"/>
    </row>
    <row r="291" spans="1:6">
      <c r="B291" s="1139" t="s">
        <v>2261</v>
      </c>
      <c r="C291" s="1132" t="s">
        <v>34</v>
      </c>
      <c r="D291" s="1140">
        <v>12</v>
      </c>
      <c r="E291" s="1254"/>
      <c r="F291" s="1135">
        <f t="shared" ref="F291:F294" si="15">E291*D291</f>
        <v>0</v>
      </c>
    </row>
    <row r="292" spans="1:6">
      <c r="B292" s="1139" t="s">
        <v>2277</v>
      </c>
      <c r="C292" s="1132" t="s">
        <v>34</v>
      </c>
      <c r="D292" s="1140">
        <v>30</v>
      </c>
      <c r="E292" s="1254"/>
      <c r="F292" s="1135">
        <f t="shared" si="15"/>
        <v>0</v>
      </c>
    </row>
    <row r="293" spans="1:6">
      <c r="B293" s="1139" t="s">
        <v>2276</v>
      </c>
      <c r="C293" s="1132" t="s">
        <v>34</v>
      </c>
      <c r="D293" s="1140">
        <v>8</v>
      </c>
      <c r="E293" s="1254"/>
      <c r="F293" s="1135">
        <f t="shared" si="15"/>
        <v>0</v>
      </c>
    </row>
    <row r="294" spans="1:6">
      <c r="B294" s="1139" t="s">
        <v>2257</v>
      </c>
      <c r="C294" s="1132" t="s">
        <v>34</v>
      </c>
      <c r="D294" s="1140">
        <v>10</v>
      </c>
      <c r="E294" s="1254"/>
      <c r="F294" s="1135">
        <f t="shared" si="15"/>
        <v>0</v>
      </c>
    </row>
    <row r="295" spans="1:6">
      <c r="B295" s="1139"/>
      <c r="C295" s="1132"/>
      <c r="D295" s="1140"/>
      <c r="E295" s="1254"/>
      <c r="F295" s="1135"/>
    </row>
    <row r="296" spans="1:6" ht="57">
      <c r="A296" s="1130">
        <f>A290+0.001</f>
        <v>1.617</v>
      </c>
      <c r="B296" s="1139" t="s">
        <v>2416</v>
      </c>
      <c r="C296" s="1132"/>
      <c r="D296" s="1140"/>
      <c r="E296" s="1254"/>
      <c r="F296" s="1135"/>
    </row>
    <row r="297" spans="1:6">
      <c r="B297" s="1139" t="s">
        <v>2273</v>
      </c>
      <c r="C297" s="1132" t="s">
        <v>34</v>
      </c>
      <c r="D297" s="1140">
        <v>1</v>
      </c>
      <c r="E297" s="1254"/>
      <c r="F297" s="1135">
        <f t="shared" ref="F297" si="16">E297*D297</f>
        <v>0</v>
      </c>
    </row>
    <row r="298" spans="1:6">
      <c r="B298" s="1139"/>
      <c r="C298" s="1132"/>
      <c r="D298" s="1140"/>
      <c r="E298" s="1254"/>
      <c r="F298" s="1135"/>
    </row>
    <row r="299" spans="1:6" ht="23.25">
      <c r="A299" s="1130">
        <f>A296+0.001</f>
        <v>1.6180000000000001</v>
      </c>
      <c r="B299" s="1139" t="s">
        <v>2417</v>
      </c>
      <c r="C299" s="1132"/>
      <c r="D299" s="1140"/>
      <c r="E299" s="1254"/>
      <c r="F299" s="1135"/>
    </row>
    <row r="300" spans="1:6">
      <c r="B300" s="1139" t="s">
        <v>2273</v>
      </c>
      <c r="C300" s="1132" t="s">
        <v>34</v>
      </c>
      <c r="D300" s="1140">
        <v>1</v>
      </c>
      <c r="E300" s="1254"/>
      <c r="F300" s="1135">
        <f t="shared" ref="F300" si="17">E300*D300</f>
        <v>0</v>
      </c>
    </row>
    <row r="301" spans="1:6">
      <c r="B301" s="1139"/>
      <c r="C301" s="1132"/>
      <c r="D301" s="1140"/>
      <c r="E301" s="1254"/>
      <c r="F301" s="1135"/>
    </row>
    <row r="302" spans="1:6" ht="45.75">
      <c r="A302" s="1130">
        <f>A299+0.001</f>
        <v>1.619</v>
      </c>
      <c r="B302" s="1139" t="s">
        <v>2418</v>
      </c>
      <c r="C302" s="1132"/>
      <c r="D302" s="1140"/>
      <c r="E302" s="1254"/>
      <c r="F302" s="1135"/>
    </row>
    <row r="303" spans="1:6">
      <c r="B303" s="1139" t="s">
        <v>2274</v>
      </c>
      <c r="C303" s="1132" t="s">
        <v>34</v>
      </c>
      <c r="D303" s="1140">
        <v>1</v>
      </c>
      <c r="E303" s="1254"/>
      <c r="F303" s="1135">
        <f t="shared" ref="F303:F304" si="18">E303*D303</f>
        <v>0</v>
      </c>
    </row>
    <row r="304" spans="1:6">
      <c r="B304" s="1139" t="s">
        <v>2261</v>
      </c>
      <c r="C304" s="1132" t="s">
        <v>34</v>
      </c>
      <c r="D304" s="1140">
        <v>13</v>
      </c>
      <c r="E304" s="1254"/>
      <c r="F304" s="1135">
        <f t="shared" si="18"/>
        <v>0</v>
      </c>
    </row>
    <row r="305" spans="1:6">
      <c r="B305" s="1139"/>
      <c r="C305" s="1132"/>
      <c r="D305" s="1140"/>
      <c r="E305" s="1254"/>
      <c r="F305" s="1135"/>
    </row>
    <row r="306" spans="1:6" ht="23.25">
      <c r="A306" s="1130">
        <f>A302+0.001</f>
        <v>1.62</v>
      </c>
      <c r="B306" s="1139" t="s">
        <v>2419</v>
      </c>
      <c r="C306" s="1132"/>
      <c r="D306" s="1140"/>
      <c r="E306" s="1254"/>
      <c r="F306" s="1135"/>
    </row>
    <row r="307" spans="1:6">
      <c r="B307" s="1139" t="s">
        <v>2275</v>
      </c>
      <c r="C307" s="1132" t="s">
        <v>34</v>
      </c>
      <c r="D307" s="1140">
        <v>1</v>
      </c>
      <c r="E307" s="1254"/>
      <c r="F307" s="1135">
        <f t="shared" ref="F307" si="19">E307*D307</f>
        <v>0</v>
      </c>
    </row>
    <row r="308" spans="1:6">
      <c r="B308" s="1139"/>
      <c r="C308" s="1132"/>
      <c r="D308" s="1140"/>
      <c r="E308" s="1254"/>
      <c r="F308" s="1135"/>
    </row>
    <row r="309" spans="1:6" ht="34.5">
      <c r="A309" s="1130">
        <f>A306+0.001</f>
        <v>1.621</v>
      </c>
      <c r="B309" s="1139" t="s">
        <v>2420</v>
      </c>
      <c r="C309" s="1132"/>
      <c r="D309" s="1140"/>
      <c r="E309" s="1254"/>
      <c r="F309" s="1135" t="s">
        <v>2421</v>
      </c>
    </row>
    <row r="310" spans="1:6">
      <c r="B310" s="1139" t="s">
        <v>2422</v>
      </c>
      <c r="C310" s="1132" t="s">
        <v>34</v>
      </c>
      <c r="D310" s="1140">
        <v>4</v>
      </c>
      <c r="E310" s="1254"/>
      <c r="F310" s="1135">
        <f t="shared" ref="F310:F311" si="20">E310*D310</f>
        <v>0</v>
      </c>
    </row>
    <row r="311" spans="1:6">
      <c r="B311" s="1139" t="s">
        <v>2423</v>
      </c>
      <c r="C311" s="1132" t="s">
        <v>34</v>
      </c>
      <c r="D311" s="1140">
        <v>4</v>
      </c>
      <c r="E311" s="1254"/>
      <c r="F311" s="1135">
        <f t="shared" si="20"/>
        <v>0</v>
      </c>
    </row>
    <row r="312" spans="1:6">
      <c r="B312" s="1139"/>
      <c r="C312" s="1132"/>
      <c r="D312" s="1140"/>
      <c r="E312" s="1254"/>
      <c r="F312" s="1135"/>
    </row>
    <row r="313" spans="1:6" ht="34.5">
      <c r="A313" s="1130">
        <f>A309+0.001</f>
        <v>1.6220000000000001</v>
      </c>
      <c r="B313" s="1139" t="s">
        <v>2424</v>
      </c>
      <c r="C313" s="1132"/>
      <c r="D313" s="1140"/>
      <c r="E313" s="1254"/>
      <c r="F313" s="1135" t="s">
        <v>2421</v>
      </c>
    </row>
    <row r="314" spans="1:6">
      <c r="B314" s="1139" t="s">
        <v>2425</v>
      </c>
      <c r="C314" s="1132" t="s">
        <v>34</v>
      </c>
      <c r="D314" s="1140">
        <v>4</v>
      </c>
      <c r="E314" s="1254"/>
      <c r="F314" s="1135">
        <f t="shared" ref="F314" si="21">E314*D314</f>
        <v>0</v>
      </c>
    </row>
    <row r="315" spans="1:6" s="1153" customFormat="1" ht="11.25">
      <c r="A315" s="1155"/>
      <c r="B315" s="1150"/>
      <c r="C315" s="1151"/>
      <c r="D315" s="1152"/>
      <c r="E315" s="57"/>
      <c r="F315" s="1181"/>
    </row>
    <row r="316" spans="1:6" s="1153" customFormat="1" ht="22.5">
      <c r="A316" s="1130">
        <f>A313+0.001</f>
        <v>1.623</v>
      </c>
      <c r="B316" s="1150" t="s">
        <v>2281</v>
      </c>
      <c r="C316" s="1151" t="s">
        <v>2243</v>
      </c>
      <c r="D316" s="1152">
        <v>8</v>
      </c>
      <c r="E316" s="1254"/>
      <c r="F316" s="1135">
        <f>E316*D316</f>
        <v>0</v>
      </c>
    </row>
    <row r="317" spans="1:6" s="1153" customFormat="1" ht="11.25">
      <c r="A317" s="1130"/>
      <c r="B317" s="1150"/>
      <c r="C317" s="1151"/>
      <c r="D317" s="1152"/>
      <c r="E317" s="1254"/>
      <c r="F317" s="1135"/>
    </row>
    <row r="318" spans="1:6" s="1153" customFormat="1" ht="56.25">
      <c r="A318" s="1130">
        <f>A316+0.001</f>
        <v>1.6240000000000001</v>
      </c>
      <c r="B318" s="1150" t="s">
        <v>2426</v>
      </c>
      <c r="C318" s="1154" t="s">
        <v>2243</v>
      </c>
      <c r="D318" s="1152">
        <v>1</v>
      </c>
      <c r="E318" s="1254"/>
      <c r="F318" s="1135">
        <f>E318*D318</f>
        <v>0</v>
      </c>
    </row>
    <row r="319" spans="1:6" s="1153" customFormat="1" ht="11.25">
      <c r="A319" s="1155"/>
      <c r="B319" s="1150"/>
      <c r="C319" s="1154"/>
      <c r="D319" s="1152"/>
      <c r="E319" s="57"/>
      <c r="F319" s="1156"/>
    </row>
    <row r="320" spans="1:6" s="1160" customFormat="1" ht="45">
      <c r="A320" s="1130">
        <f>A318+0.001</f>
        <v>1.625</v>
      </c>
      <c r="B320" s="1157" t="s">
        <v>2283</v>
      </c>
      <c r="C320" s="1158" t="s">
        <v>2243</v>
      </c>
      <c r="D320" s="1159">
        <v>1</v>
      </c>
      <c r="E320" s="1254"/>
      <c r="F320" s="1135">
        <f>E320*D320</f>
        <v>0</v>
      </c>
    </row>
    <row r="321" spans="1:6" s="1160" customFormat="1" ht="11.25">
      <c r="A321" s="1155"/>
      <c r="B321" s="1157"/>
      <c r="C321" s="1158"/>
      <c r="D321" s="1159"/>
      <c r="E321" s="1256"/>
      <c r="F321" s="1161"/>
    </row>
    <row r="322" spans="1:6" s="1160" customFormat="1" ht="22.5">
      <c r="A322" s="1130">
        <f>A320+0.001</f>
        <v>1.6259999999999999</v>
      </c>
      <c r="B322" s="1157" t="s">
        <v>2284</v>
      </c>
      <c r="C322" s="1158" t="s">
        <v>2243</v>
      </c>
      <c r="D322" s="1159">
        <v>1</v>
      </c>
      <c r="E322" s="1254"/>
      <c r="F322" s="1135">
        <f>E322*D322</f>
        <v>0</v>
      </c>
    </row>
    <row r="323" spans="1:6" s="1160" customFormat="1" ht="11.25">
      <c r="A323" s="1155"/>
      <c r="B323" s="1157"/>
      <c r="C323" s="1158"/>
      <c r="D323" s="1159"/>
      <c r="E323" s="1256"/>
      <c r="F323" s="1161"/>
    </row>
    <row r="324" spans="1:6" s="1160" customFormat="1" ht="33.75">
      <c r="A324" s="1130">
        <f>A322+0.001</f>
        <v>1.627</v>
      </c>
      <c r="B324" s="1157" t="s">
        <v>2285</v>
      </c>
      <c r="C324" s="1158" t="s">
        <v>2243</v>
      </c>
      <c r="D324" s="1159">
        <v>1</v>
      </c>
      <c r="E324" s="1254"/>
      <c r="F324" s="1135">
        <f>E324*D324</f>
        <v>0</v>
      </c>
    </row>
    <row r="325" spans="1:6" s="1160" customFormat="1" ht="11.25">
      <c r="A325" s="1155"/>
      <c r="B325" s="1157"/>
      <c r="C325" s="1158"/>
      <c r="D325" s="1159"/>
      <c r="E325" s="1256"/>
      <c r="F325" s="1161"/>
    </row>
    <row r="326" spans="1:6" s="1160" customFormat="1" ht="11.25">
      <c r="A326" s="1130">
        <f>A324+0.001</f>
        <v>1.6279999999999999</v>
      </c>
      <c r="B326" s="1157" t="s">
        <v>2286</v>
      </c>
      <c r="C326" s="1158" t="s">
        <v>2243</v>
      </c>
      <c r="D326" s="1159">
        <v>1</v>
      </c>
      <c r="E326" s="1254"/>
      <c r="F326" s="1135">
        <f>E326*D326</f>
        <v>0</v>
      </c>
    </row>
    <row r="327" spans="1:6" s="1160" customFormat="1" ht="11.25">
      <c r="A327" s="1155"/>
      <c r="B327" s="1157"/>
      <c r="C327" s="1158"/>
      <c r="D327" s="1159"/>
      <c r="E327" s="1256"/>
      <c r="F327" s="1161"/>
    </row>
    <row r="328" spans="1:6" s="1160" customFormat="1" ht="22.5">
      <c r="A328" s="1130">
        <f>A326+0.001</f>
        <v>1.629</v>
      </c>
      <c r="B328" s="1157" t="s">
        <v>2287</v>
      </c>
      <c r="C328" s="1158" t="s">
        <v>2243</v>
      </c>
      <c r="D328" s="1159">
        <v>1</v>
      </c>
      <c r="E328" s="1254"/>
      <c r="F328" s="1135">
        <f>E328*D328</f>
        <v>0</v>
      </c>
    </row>
    <row r="329" spans="1:6" s="1160" customFormat="1" ht="11.25">
      <c r="A329" s="1155"/>
      <c r="B329" s="1158"/>
      <c r="C329" s="1158"/>
      <c r="D329" s="1159"/>
      <c r="E329" s="1256"/>
      <c r="F329" s="1161"/>
    </row>
    <row r="330" spans="1:6" s="1160" customFormat="1" ht="78.75">
      <c r="A330" s="1130">
        <f>A328+0.001</f>
        <v>1.63</v>
      </c>
      <c r="B330" s="1182" t="s">
        <v>2427</v>
      </c>
      <c r="C330" s="1158" t="s">
        <v>2243</v>
      </c>
      <c r="D330" s="1159">
        <v>5</v>
      </c>
      <c r="E330" s="1254"/>
      <c r="F330" s="1135">
        <f>E330*D330</f>
        <v>0</v>
      </c>
    </row>
    <row r="331" spans="1:6" s="1160" customFormat="1" ht="11.25">
      <c r="A331" s="1130"/>
      <c r="B331" s="1182"/>
      <c r="C331" s="1158"/>
      <c r="D331" s="1159"/>
      <c r="E331" s="1254"/>
      <c r="F331" s="1135"/>
    </row>
    <row r="332" spans="1:6" ht="34.5">
      <c r="A332" s="1130">
        <f>A330+0.001</f>
        <v>1.631</v>
      </c>
      <c r="B332" s="1179" t="s">
        <v>2428</v>
      </c>
      <c r="C332" s="1158" t="s">
        <v>2243</v>
      </c>
      <c r="D332" s="1159">
        <v>1</v>
      </c>
      <c r="E332" s="1254"/>
      <c r="F332" s="1135">
        <f>E332*D332</f>
        <v>0</v>
      </c>
    </row>
    <row r="333" spans="1:6">
      <c r="C333" s="1183"/>
      <c r="D333" s="1184"/>
      <c r="E333" s="1265"/>
      <c r="F333" s="1135"/>
    </row>
    <row r="334" spans="1:6" s="1160" customFormat="1" ht="22.5">
      <c r="A334" s="1130">
        <f>A332+0.001</f>
        <v>1.6319999999999999</v>
      </c>
      <c r="B334" s="1175" t="s">
        <v>2429</v>
      </c>
      <c r="C334" s="1172" t="s">
        <v>2243</v>
      </c>
      <c r="D334" s="1159">
        <v>1</v>
      </c>
      <c r="E334" s="1266"/>
      <c r="F334" s="1135">
        <f>E334*D334</f>
        <v>0</v>
      </c>
    </row>
    <row r="335" spans="1:6" s="1160" customFormat="1" ht="11.25">
      <c r="A335" s="1155"/>
      <c r="B335" s="1158"/>
      <c r="C335" s="1158"/>
      <c r="D335" s="1159"/>
      <c r="E335" s="1256"/>
      <c r="F335" s="1161"/>
    </row>
    <row r="336" spans="1:6">
      <c r="A336" s="1127">
        <f>A175+0.1</f>
        <v>1.7</v>
      </c>
      <c r="B336" s="1128" t="s">
        <v>2430</v>
      </c>
      <c r="C336" s="1185"/>
      <c r="D336" s="1186"/>
      <c r="E336" s="1267"/>
      <c r="F336" s="1187"/>
    </row>
    <row r="337" spans="1:6" ht="45">
      <c r="A337" s="1130">
        <f>A336+0.001</f>
        <v>1.7010000000000001</v>
      </c>
      <c r="B337" s="1164" t="s">
        <v>2431</v>
      </c>
      <c r="C337" s="1172" t="s">
        <v>2243</v>
      </c>
      <c r="D337" s="1159">
        <v>10</v>
      </c>
      <c r="E337" s="1266"/>
      <c r="F337" s="1135">
        <f>E337*D337</f>
        <v>0</v>
      </c>
    </row>
    <row r="338" spans="1:6" ht="45.75">
      <c r="B338" s="1139" t="s">
        <v>2432</v>
      </c>
      <c r="C338" s="1188"/>
      <c r="D338" s="1140"/>
      <c r="E338" s="1268"/>
      <c r="F338" s="1178"/>
    </row>
    <row r="339" spans="1:6" ht="158.25">
      <c r="B339" s="1139" t="s">
        <v>2433</v>
      </c>
      <c r="C339" s="1188"/>
      <c r="D339" s="1140"/>
      <c r="E339" s="1268"/>
      <c r="F339" s="1178"/>
    </row>
    <row r="340" spans="1:6" ht="90.75">
      <c r="B340" s="1139" t="s">
        <v>2434</v>
      </c>
      <c r="C340" s="1188"/>
      <c r="D340" s="1140"/>
      <c r="E340" s="1268"/>
      <c r="F340" s="1178"/>
    </row>
    <row r="341" spans="1:6" ht="248.25">
      <c r="B341" s="1139" t="s">
        <v>2435</v>
      </c>
      <c r="C341" s="1188"/>
      <c r="D341" s="1140"/>
      <c r="E341" s="1268"/>
      <c r="F341" s="1178"/>
    </row>
    <row r="342" spans="1:6" ht="68.25">
      <c r="B342" s="1139" t="s">
        <v>2436</v>
      </c>
      <c r="C342" s="1188"/>
      <c r="D342" s="1140"/>
      <c r="E342" s="1268"/>
      <c r="F342" s="1178"/>
    </row>
    <row r="343" spans="1:6">
      <c r="B343" s="1139" t="s">
        <v>2437</v>
      </c>
      <c r="C343" s="1188"/>
      <c r="D343" s="1140"/>
      <c r="E343" s="1268"/>
      <c r="F343" s="1178"/>
    </row>
    <row r="344" spans="1:6" ht="34.5">
      <c r="B344" s="1139" t="s">
        <v>2438</v>
      </c>
      <c r="C344" s="1188"/>
      <c r="D344" s="1140"/>
      <c r="E344" s="1268"/>
      <c r="F344" s="1178"/>
    </row>
    <row r="345" spans="1:6">
      <c r="B345" s="1139" t="s">
        <v>2439</v>
      </c>
      <c r="C345" s="1188"/>
      <c r="D345" s="1140"/>
      <c r="E345" s="1268"/>
      <c r="F345" s="1178"/>
    </row>
    <row r="346" spans="1:6" ht="23.25">
      <c r="B346" s="1139" t="s">
        <v>2440</v>
      </c>
      <c r="C346" s="1188"/>
      <c r="D346" s="1140"/>
      <c r="E346" s="1268"/>
      <c r="F346" s="1178"/>
    </row>
    <row r="347" spans="1:6">
      <c r="B347" s="1139" t="s">
        <v>2441</v>
      </c>
      <c r="C347" s="1188"/>
      <c r="D347" s="1140"/>
      <c r="E347" s="1268"/>
      <c r="F347" s="1178"/>
    </row>
    <row r="348" spans="1:6">
      <c r="B348" s="1139" t="s">
        <v>2442</v>
      </c>
      <c r="C348" s="1188"/>
      <c r="D348" s="1140"/>
      <c r="E348" s="1268"/>
      <c r="F348" s="1178"/>
    </row>
    <row r="349" spans="1:6">
      <c r="B349" s="1139" t="s">
        <v>2443</v>
      </c>
      <c r="C349" s="1188"/>
      <c r="D349" s="1140"/>
      <c r="E349" s="1268"/>
      <c r="F349" s="1178"/>
    </row>
    <row r="350" spans="1:6">
      <c r="B350" s="1139" t="s">
        <v>2444</v>
      </c>
      <c r="C350" s="1188"/>
      <c r="D350" s="1140"/>
      <c r="E350" s="1268"/>
      <c r="F350" s="1178"/>
    </row>
    <row r="351" spans="1:6">
      <c r="B351" s="1139" t="s">
        <v>2445</v>
      </c>
      <c r="C351" s="1188"/>
      <c r="D351" s="1140"/>
      <c r="E351" s="1268"/>
      <c r="F351" s="1178"/>
    </row>
    <row r="352" spans="1:6">
      <c r="B352" s="1139" t="s">
        <v>2446</v>
      </c>
      <c r="C352" s="1188"/>
      <c r="D352" s="1140"/>
      <c r="E352" s="1268"/>
      <c r="F352" s="1178"/>
    </row>
    <row r="353" spans="1:6">
      <c r="B353" s="1139" t="s">
        <v>2447</v>
      </c>
      <c r="C353" s="1188"/>
      <c r="D353" s="1140"/>
      <c r="E353" s="1268"/>
      <c r="F353" s="1178"/>
    </row>
    <row r="354" spans="1:6">
      <c r="B354" s="1139" t="s">
        <v>2448</v>
      </c>
      <c r="C354" s="1188"/>
      <c r="D354" s="1140"/>
      <c r="E354" s="1268"/>
      <c r="F354" s="1178"/>
    </row>
    <row r="355" spans="1:6">
      <c r="B355" s="1139" t="s">
        <v>2449</v>
      </c>
      <c r="C355" s="1188"/>
      <c r="D355" s="1140"/>
      <c r="E355" s="1268"/>
      <c r="F355" s="1178"/>
    </row>
    <row r="356" spans="1:6">
      <c r="B356" s="1139" t="s">
        <v>2450</v>
      </c>
      <c r="C356" s="1188"/>
      <c r="D356" s="1140"/>
      <c r="E356" s="1268"/>
      <c r="F356" s="1178"/>
    </row>
    <row r="357" spans="1:6">
      <c r="B357" s="1139" t="s">
        <v>2451</v>
      </c>
      <c r="C357" s="1188"/>
      <c r="D357" s="1140"/>
      <c r="E357" s="1268"/>
      <c r="F357" s="1178"/>
    </row>
    <row r="358" spans="1:6">
      <c r="B358" s="1139" t="s">
        <v>2452</v>
      </c>
      <c r="C358" s="1188"/>
      <c r="D358" s="1140"/>
      <c r="E358" s="1268"/>
      <c r="F358" s="1178"/>
    </row>
    <row r="359" spans="1:6">
      <c r="B359" s="1139" t="s">
        <v>2453</v>
      </c>
      <c r="C359" s="1188"/>
      <c r="D359" s="1140"/>
      <c r="E359" s="1268"/>
      <c r="F359" s="1178"/>
    </row>
    <row r="360" spans="1:6">
      <c r="B360" s="1139" t="s">
        <v>2454</v>
      </c>
      <c r="C360" s="1188"/>
      <c r="D360" s="1140"/>
      <c r="E360" s="1268"/>
      <c r="F360" s="1178"/>
    </row>
    <row r="361" spans="1:6">
      <c r="B361" s="1139" t="s">
        <v>2455</v>
      </c>
      <c r="C361" s="1188"/>
      <c r="D361" s="1140"/>
      <c r="E361" s="1268"/>
      <c r="F361" s="1178"/>
    </row>
    <row r="362" spans="1:6">
      <c r="B362" s="1139" t="s">
        <v>2456</v>
      </c>
      <c r="C362" s="1188"/>
      <c r="D362" s="1140"/>
      <c r="E362" s="1268"/>
      <c r="F362" s="1178"/>
    </row>
    <row r="363" spans="1:6">
      <c r="B363" s="1139" t="s">
        <v>2457</v>
      </c>
      <c r="C363" s="1172"/>
      <c r="D363" s="1159"/>
      <c r="E363" s="1266"/>
      <c r="F363" s="1135"/>
    </row>
    <row r="364" spans="1:6" ht="48">
      <c r="B364" s="1189" t="s">
        <v>2234</v>
      </c>
      <c r="C364" s="1172"/>
      <c r="D364" s="1159"/>
      <c r="E364" s="1266"/>
      <c r="F364" s="1135"/>
    </row>
    <row r="365" spans="1:6">
      <c r="B365" s="1189"/>
      <c r="C365" s="1172"/>
      <c r="D365" s="1159"/>
      <c r="E365" s="1266"/>
      <c r="F365" s="1135"/>
    </row>
    <row r="366" spans="1:6" ht="34.5">
      <c r="A366" s="1130">
        <f>A337+0.001</f>
        <v>1.702</v>
      </c>
      <c r="B366" s="1139" t="s">
        <v>2458</v>
      </c>
      <c r="C366" s="1172" t="s">
        <v>2243</v>
      </c>
      <c r="D366" s="1159">
        <v>1</v>
      </c>
      <c r="E366" s="1266"/>
      <c r="F366" s="1135">
        <f>E366*D366</f>
        <v>0</v>
      </c>
    </row>
    <row r="367" spans="1:6" ht="124.5">
      <c r="B367" s="1139" t="s">
        <v>2459</v>
      </c>
      <c r="C367" s="1172"/>
      <c r="D367" s="1159"/>
      <c r="E367" s="1266"/>
      <c r="F367" s="1135"/>
    </row>
    <row r="368" spans="1:6" ht="34.5">
      <c r="B368" s="1139" t="s">
        <v>2460</v>
      </c>
      <c r="C368" s="1172"/>
      <c r="D368" s="1159"/>
      <c r="E368" s="1266"/>
      <c r="F368" s="1135"/>
    </row>
    <row r="369" spans="1:6" ht="113.25">
      <c r="B369" s="1139" t="s">
        <v>2461</v>
      </c>
      <c r="C369" s="1172"/>
      <c r="D369" s="1159"/>
      <c r="E369" s="1266"/>
      <c r="F369" s="1135"/>
    </row>
    <row r="370" spans="1:6">
      <c r="B370" s="1139" t="s">
        <v>2462</v>
      </c>
      <c r="C370" s="1172"/>
      <c r="D370" s="1159"/>
      <c r="E370" s="1266"/>
      <c r="F370" s="1135"/>
    </row>
    <row r="371" spans="1:6">
      <c r="B371" s="1139" t="s">
        <v>2463</v>
      </c>
      <c r="C371" s="1172"/>
      <c r="D371" s="1159"/>
      <c r="E371" s="1266"/>
      <c r="F371" s="1135"/>
    </row>
    <row r="372" spans="1:6">
      <c r="B372" s="1139"/>
      <c r="C372" s="1172"/>
      <c r="D372" s="1159"/>
      <c r="E372" s="1266"/>
      <c r="F372" s="1135"/>
    </row>
    <row r="373" spans="1:6" ht="102">
      <c r="A373" s="1130">
        <f>A366+0.001</f>
        <v>1.7030000000000001</v>
      </c>
      <c r="B373" s="1139" t="s">
        <v>2464</v>
      </c>
      <c r="C373" s="1172" t="s">
        <v>2243</v>
      </c>
      <c r="D373" s="1159">
        <v>2</v>
      </c>
      <c r="E373" s="1266"/>
      <c r="F373" s="1135">
        <f>E373*D373</f>
        <v>0</v>
      </c>
    </row>
    <row r="374" spans="1:6">
      <c r="B374" s="1139"/>
      <c r="C374" s="1172"/>
      <c r="D374" s="1159"/>
      <c r="E374" s="1266"/>
      <c r="F374" s="1135"/>
    </row>
    <row r="375" spans="1:6">
      <c r="B375" s="1190" t="s">
        <v>2465</v>
      </c>
      <c r="C375" s="1188"/>
      <c r="D375" s="1140"/>
      <c r="E375" s="1268"/>
      <c r="F375" s="1178"/>
    </row>
    <row r="376" spans="1:6" ht="45">
      <c r="B376" s="1190" t="s">
        <v>2466</v>
      </c>
      <c r="C376" s="1188"/>
      <c r="D376" s="1140"/>
      <c r="E376" s="1268"/>
      <c r="F376" s="1178"/>
    </row>
    <row r="377" spans="1:6" ht="33.75">
      <c r="B377" s="1190" t="s">
        <v>2467</v>
      </c>
      <c r="C377" s="1188"/>
      <c r="D377" s="1140"/>
      <c r="E377" s="1268"/>
      <c r="F377" s="1178"/>
    </row>
    <row r="378" spans="1:6" ht="22.5">
      <c r="B378" s="1190" t="s">
        <v>2468</v>
      </c>
      <c r="C378" s="1188"/>
      <c r="D378" s="1140"/>
      <c r="E378" s="1268"/>
      <c r="F378" s="1178"/>
    </row>
    <row r="379" spans="1:6" ht="78.75">
      <c r="B379" s="1190" t="s">
        <v>2469</v>
      </c>
      <c r="C379" s="1188"/>
      <c r="D379" s="1140"/>
      <c r="E379" s="1268"/>
      <c r="F379" s="1178"/>
    </row>
    <row r="380" spans="1:6">
      <c r="A380" s="1130">
        <f>A373+0.001</f>
        <v>1.704</v>
      </c>
      <c r="B380" s="1190" t="s">
        <v>2470</v>
      </c>
      <c r="C380" s="1172" t="s">
        <v>2243</v>
      </c>
      <c r="D380" s="1159">
        <v>47</v>
      </c>
      <c r="E380" s="1266"/>
      <c r="F380" s="1135">
        <f>E380*D380</f>
        <v>0</v>
      </c>
    </row>
    <row r="381" spans="1:6">
      <c r="B381" s="1190" t="s">
        <v>2471</v>
      </c>
      <c r="C381" s="1188"/>
      <c r="D381" s="1140"/>
      <c r="E381" s="1268"/>
      <c r="F381" s="1178"/>
    </row>
    <row r="382" spans="1:6">
      <c r="B382" s="1190" t="s">
        <v>2472</v>
      </c>
      <c r="C382" s="1188"/>
      <c r="D382" s="1140"/>
      <c r="E382" s="1268"/>
      <c r="F382" s="1178"/>
    </row>
    <row r="383" spans="1:6">
      <c r="B383" s="1190" t="s">
        <v>2473</v>
      </c>
      <c r="C383" s="1188"/>
      <c r="D383" s="1140"/>
      <c r="E383" s="1268"/>
      <c r="F383" s="1178"/>
    </row>
    <row r="384" spans="1:6">
      <c r="B384" s="1190" t="s">
        <v>2474</v>
      </c>
      <c r="C384" s="1188"/>
      <c r="D384" s="1140"/>
      <c r="E384" s="1268"/>
      <c r="F384" s="1178"/>
    </row>
    <row r="385" spans="1:6">
      <c r="B385" s="1190" t="s">
        <v>2475</v>
      </c>
      <c r="C385" s="1188"/>
      <c r="D385" s="1140"/>
      <c r="E385" s="1268"/>
      <c r="F385" s="1178"/>
    </row>
    <row r="386" spans="1:6">
      <c r="B386" s="1190" t="s">
        <v>2476</v>
      </c>
      <c r="C386" s="1188"/>
      <c r="D386" s="1140"/>
      <c r="E386" s="1268"/>
      <c r="F386" s="1178"/>
    </row>
    <row r="387" spans="1:6">
      <c r="B387" s="1190" t="s">
        <v>2477</v>
      </c>
      <c r="C387" s="1188"/>
      <c r="D387" s="1140"/>
      <c r="E387" s="1268"/>
      <c r="F387" s="1178"/>
    </row>
    <row r="388" spans="1:6">
      <c r="B388" s="1190" t="s">
        <v>2478</v>
      </c>
      <c r="C388" s="1188"/>
      <c r="D388" s="1140"/>
      <c r="E388" s="1268"/>
      <c r="F388" s="1178"/>
    </row>
    <row r="389" spans="1:6">
      <c r="B389" s="1190" t="s">
        <v>2479</v>
      </c>
      <c r="C389" s="1188"/>
      <c r="D389" s="1140"/>
      <c r="E389" s="1268"/>
      <c r="F389" s="1178"/>
    </row>
    <row r="390" spans="1:6">
      <c r="B390" s="1190" t="s">
        <v>2480</v>
      </c>
      <c r="C390" s="1188"/>
      <c r="D390" s="1140"/>
      <c r="E390" s="1268"/>
      <c r="F390" s="1178"/>
    </row>
    <row r="391" spans="1:6">
      <c r="B391" s="1190" t="s">
        <v>2481</v>
      </c>
      <c r="C391" s="1188"/>
      <c r="D391" s="1140"/>
      <c r="E391" s="1268"/>
      <c r="F391" s="1178"/>
    </row>
    <row r="392" spans="1:6">
      <c r="B392" s="1190" t="s">
        <v>2482</v>
      </c>
      <c r="C392" s="1188"/>
      <c r="D392" s="1140"/>
      <c r="E392" s="1268"/>
      <c r="F392" s="1178"/>
    </row>
    <row r="393" spans="1:6">
      <c r="B393" s="1190"/>
      <c r="C393" s="1188"/>
      <c r="D393" s="1140"/>
      <c r="E393" s="1268"/>
      <c r="F393" s="1178"/>
    </row>
    <row r="394" spans="1:6">
      <c r="A394" s="1130">
        <f>A380+0.001</f>
        <v>1.7050000000000001</v>
      </c>
      <c r="B394" s="1190" t="s">
        <v>2483</v>
      </c>
      <c r="C394" s="1172" t="s">
        <v>2243</v>
      </c>
      <c r="D394" s="1159">
        <v>5</v>
      </c>
      <c r="E394" s="1266"/>
      <c r="F394" s="1135">
        <f>E394*D394</f>
        <v>0</v>
      </c>
    </row>
    <row r="395" spans="1:6">
      <c r="B395" s="1190" t="s">
        <v>2484</v>
      </c>
      <c r="C395" s="1188"/>
      <c r="D395" s="1140"/>
      <c r="E395" s="1268"/>
      <c r="F395" s="1178"/>
    </row>
    <row r="396" spans="1:6">
      <c r="B396" s="1190" t="s">
        <v>2485</v>
      </c>
      <c r="C396" s="1188"/>
      <c r="D396" s="1140"/>
      <c r="E396" s="1268"/>
      <c r="F396" s="1178"/>
    </row>
    <row r="397" spans="1:6">
      <c r="B397" s="1190" t="s">
        <v>2486</v>
      </c>
      <c r="C397" s="1188"/>
      <c r="D397" s="1140"/>
      <c r="E397" s="1268"/>
      <c r="F397" s="1178"/>
    </row>
    <row r="398" spans="1:6">
      <c r="B398" s="1190" t="s">
        <v>2487</v>
      </c>
      <c r="C398" s="1188"/>
      <c r="D398" s="1140"/>
      <c r="E398" s="1268"/>
      <c r="F398" s="1178"/>
    </row>
    <row r="399" spans="1:6">
      <c r="B399" s="1190" t="s">
        <v>2488</v>
      </c>
      <c r="C399" s="1188"/>
      <c r="D399" s="1140"/>
      <c r="E399" s="1268"/>
      <c r="F399" s="1178"/>
    </row>
    <row r="400" spans="1:6">
      <c r="B400" s="1190" t="s">
        <v>2476</v>
      </c>
      <c r="C400" s="1188"/>
      <c r="D400" s="1140"/>
      <c r="E400" s="1268"/>
      <c r="F400" s="1178"/>
    </row>
    <row r="401" spans="1:6">
      <c r="B401" s="1190" t="s">
        <v>2477</v>
      </c>
      <c r="C401" s="1188"/>
      <c r="D401" s="1140"/>
      <c r="E401" s="1268"/>
      <c r="F401" s="1178"/>
    </row>
    <row r="402" spans="1:6">
      <c r="B402" s="1190" t="s">
        <v>2478</v>
      </c>
      <c r="C402" s="1188"/>
      <c r="D402" s="1140"/>
      <c r="E402" s="1268"/>
      <c r="F402" s="1178"/>
    </row>
    <row r="403" spans="1:6">
      <c r="B403" s="1190" t="s">
        <v>2479</v>
      </c>
      <c r="C403" s="1188"/>
      <c r="D403" s="1140"/>
      <c r="E403" s="1268"/>
      <c r="F403" s="1178"/>
    </row>
    <row r="404" spans="1:6">
      <c r="B404" s="1190" t="s">
        <v>2480</v>
      </c>
      <c r="C404" s="1188"/>
      <c r="D404" s="1140"/>
      <c r="E404" s="1268"/>
      <c r="F404" s="1178"/>
    </row>
    <row r="405" spans="1:6">
      <c r="B405" s="1190" t="s">
        <v>2481</v>
      </c>
      <c r="C405" s="1188"/>
      <c r="D405" s="1140"/>
      <c r="E405" s="1268"/>
      <c r="F405" s="1178"/>
    </row>
    <row r="406" spans="1:6">
      <c r="B406" s="1190" t="s">
        <v>2482</v>
      </c>
      <c r="C406" s="1188"/>
      <c r="D406" s="1140"/>
      <c r="E406" s="1268"/>
      <c r="F406" s="1178"/>
    </row>
    <row r="407" spans="1:6">
      <c r="B407" s="1190"/>
      <c r="C407" s="1188"/>
      <c r="D407" s="1140"/>
      <c r="E407" s="1268"/>
      <c r="F407" s="1178"/>
    </row>
    <row r="408" spans="1:6" ht="33.75">
      <c r="B408" s="1190" t="s">
        <v>2489</v>
      </c>
      <c r="C408" s="1188"/>
      <c r="D408" s="1140"/>
      <c r="E408" s="1268"/>
      <c r="F408" s="1178"/>
    </row>
    <row r="409" spans="1:6" ht="45">
      <c r="B409" s="1190" t="s">
        <v>2490</v>
      </c>
      <c r="C409" s="1188"/>
      <c r="D409" s="1140"/>
      <c r="E409" s="1268"/>
      <c r="F409" s="1178"/>
    </row>
    <row r="410" spans="1:6" ht="101.25">
      <c r="B410" s="1190" t="s">
        <v>2491</v>
      </c>
      <c r="C410" s="1188"/>
      <c r="D410" s="1140"/>
      <c r="E410" s="1268"/>
      <c r="F410" s="1178"/>
    </row>
    <row r="411" spans="1:6" ht="90">
      <c r="B411" s="1190" t="s">
        <v>2492</v>
      </c>
      <c r="C411" s="1188"/>
      <c r="D411" s="1140"/>
      <c r="E411" s="1268"/>
      <c r="F411" s="1178"/>
    </row>
    <row r="412" spans="1:6">
      <c r="B412" s="1190" t="s">
        <v>2493</v>
      </c>
      <c r="C412" s="1188"/>
      <c r="D412" s="1140"/>
      <c r="E412" s="1268"/>
      <c r="F412" s="1178"/>
    </row>
    <row r="413" spans="1:6" ht="33.75">
      <c r="B413" s="1190" t="s">
        <v>2494</v>
      </c>
      <c r="C413" s="1188"/>
      <c r="D413" s="1140"/>
      <c r="E413" s="1268"/>
      <c r="F413" s="1178"/>
    </row>
    <row r="414" spans="1:6">
      <c r="A414" s="1130">
        <f>A394+0.001</f>
        <v>1.706</v>
      </c>
      <c r="B414" s="1190" t="s">
        <v>2470</v>
      </c>
      <c r="C414" s="1172" t="s">
        <v>2243</v>
      </c>
      <c r="D414" s="1159">
        <v>3</v>
      </c>
      <c r="E414" s="1266"/>
      <c r="F414" s="1135">
        <f>E414*D414</f>
        <v>0</v>
      </c>
    </row>
    <row r="415" spans="1:6">
      <c r="B415" s="1190" t="s">
        <v>2471</v>
      </c>
      <c r="C415" s="1188"/>
      <c r="D415" s="1140"/>
      <c r="E415" s="1268"/>
      <c r="F415" s="1178"/>
    </row>
    <row r="416" spans="1:6">
      <c r="B416" s="1190" t="s">
        <v>2495</v>
      </c>
      <c r="C416" s="1188"/>
      <c r="D416" s="1140"/>
      <c r="E416" s="1268"/>
      <c r="F416" s="1178"/>
    </row>
    <row r="417" spans="1:6">
      <c r="B417" s="1190" t="s">
        <v>2496</v>
      </c>
      <c r="C417" s="1188"/>
      <c r="D417" s="1140"/>
      <c r="E417" s="1268"/>
      <c r="F417" s="1178"/>
    </row>
    <row r="418" spans="1:6">
      <c r="B418" s="1190" t="s">
        <v>2497</v>
      </c>
      <c r="C418" s="1188"/>
      <c r="D418" s="1140"/>
      <c r="E418" s="1268"/>
      <c r="F418" s="1178"/>
    </row>
    <row r="419" spans="1:6">
      <c r="B419" s="1190" t="s">
        <v>2498</v>
      </c>
      <c r="C419" s="1188"/>
      <c r="D419" s="1140"/>
      <c r="E419" s="1268"/>
      <c r="F419" s="1178"/>
    </row>
    <row r="420" spans="1:6">
      <c r="B420" s="1190" t="s">
        <v>2499</v>
      </c>
      <c r="C420" s="1188"/>
      <c r="D420" s="1140"/>
      <c r="E420" s="1268"/>
      <c r="F420" s="1178"/>
    </row>
    <row r="421" spans="1:6">
      <c r="B421" s="1190" t="s">
        <v>2480</v>
      </c>
      <c r="C421" s="1188"/>
      <c r="D421" s="1140"/>
      <c r="E421" s="1268"/>
      <c r="F421" s="1178"/>
    </row>
    <row r="422" spans="1:6">
      <c r="B422" s="1190" t="s">
        <v>2481</v>
      </c>
      <c r="C422" s="1188"/>
      <c r="D422" s="1140"/>
      <c r="E422" s="1268"/>
      <c r="F422" s="1178"/>
    </row>
    <row r="423" spans="1:6">
      <c r="B423" s="1190" t="s">
        <v>2482</v>
      </c>
      <c r="C423" s="1188"/>
      <c r="D423" s="1140"/>
      <c r="E423" s="1268"/>
      <c r="F423" s="1178"/>
    </row>
    <row r="424" spans="1:6">
      <c r="B424" s="1190"/>
      <c r="C424" s="1188"/>
      <c r="D424" s="1140"/>
      <c r="E424" s="1268"/>
      <c r="F424" s="1178"/>
    </row>
    <row r="425" spans="1:6" ht="33.75">
      <c r="B425" s="1190" t="s">
        <v>2500</v>
      </c>
      <c r="C425" s="1188"/>
      <c r="D425" s="1140"/>
      <c r="E425" s="1268"/>
      <c r="F425" s="1178"/>
    </row>
    <row r="426" spans="1:6" ht="236.25">
      <c r="B426" s="1190" t="s">
        <v>2501</v>
      </c>
      <c r="C426" s="1188"/>
      <c r="D426" s="1140"/>
      <c r="E426" s="1268"/>
      <c r="F426" s="1178"/>
    </row>
    <row r="427" spans="1:6">
      <c r="B427" s="1190" t="s">
        <v>2502</v>
      </c>
      <c r="C427" s="1188"/>
      <c r="D427" s="1140"/>
      <c r="E427" s="1268"/>
      <c r="F427" s="1178"/>
    </row>
    <row r="428" spans="1:6" ht="33.75">
      <c r="B428" s="1190" t="s">
        <v>2494</v>
      </c>
      <c r="C428" s="1188"/>
      <c r="D428" s="1140"/>
      <c r="E428" s="1268"/>
      <c r="F428" s="1178"/>
    </row>
    <row r="429" spans="1:6">
      <c r="A429" s="1130">
        <f>A414+0.001</f>
        <v>1.7070000000000001</v>
      </c>
      <c r="B429" s="1190" t="s">
        <v>2470</v>
      </c>
      <c r="C429" s="1172" t="s">
        <v>2243</v>
      </c>
      <c r="D429" s="1159">
        <v>6</v>
      </c>
      <c r="E429" s="1266"/>
      <c r="F429" s="1135">
        <f>E429*D429</f>
        <v>0</v>
      </c>
    </row>
    <row r="430" spans="1:6">
      <c r="B430" s="1190" t="s">
        <v>2471</v>
      </c>
      <c r="C430" s="1188"/>
      <c r="D430" s="1140"/>
      <c r="E430" s="1268"/>
      <c r="F430" s="1178"/>
    </row>
    <row r="431" spans="1:6">
      <c r="B431" s="1190" t="s">
        <v>2503</v>
      </c>
      <c r="C431" s="1188"/>
      <c r="D431" s="1140"/>
      <c r="E431" s="1268"/>
      <c r="F431" s="1178"/>
    </row>
    <row r="432" spans="1:6">
      <c r="B432" s="1190" t="s">
        <v>2504</v>
      </c>
      <c r="C432" s="1188"/>
      <c r="D432" s="1140"/>
      <c r="E432" s="1268"/>
      <c r="F432" s="1178"/>
    </row>
    <row r="433" spans="1:6">
      <c r="B433" s="1190" t="s">
        <v>2505</v>
      </c>
      <c r="C433" s="1188"/>
      <c r="D433" s="1140"/>
      <c r="E433" s="1268"/>
      <c r="F433" s="1178"/>
    </row>
    <row r="434" spans="1:6">
      <c r="B434" s="1190" t="s">
        <v>2506</v>
      </c>
      <c r="C434" s="1188"/>
      <c r="D434" s="1140"/>
      <c r="E434" s="1268"/>
      <c r="F434" s="1178"/>
    </row>
    <row r="435" spans="1:6">
      <c r="B435" s="1190" t="s">
        <v>2507</v>
      </c>
      <c r="C435" s="1188"/>
      <c r="D435" s="1140"/>
      <c r="E435" s="1268"/>
      <c r="F435" s="1178"/>
    </row>
    <row r="436" spans="1:6">
      <c r="B436" s="1190" t="s">
        <v>2480</v>
      </c>
      <c r="C436" s="1188"/>
      <c r="D436" s="1140"/>
      <c r="E436" s="1268"/>
      <c r="F436" s="1178"/>
    </row>
    <row r="437" spans="1:6">
      <c r="B437" s="1190" t="s">
        <v>2481</v>
      </c>
      <c r="C437" s="1188"/>
      <c r="D437" s="1140"/>
      <c r="E437" s="1268"/>
      <c r="F437" s="1178"/>
    </row>
    <row r="438" spans="1:6">
      <c r="B438" s="1190" t="s">
        <v>2482</v>
      </c>
      <c r="C438" s="1188"/>
      <c r="D438" s="1140"/>
      <c r="E438" s="1268"/>
      <c r="F438" s="1178"/>
    </row>
    <row r="439" spans="1:6">
      <c r="B439" s="1190"/>
      <c r="C439" s="1188"/>
      <c r="D439" s="1140"/>
      <c r="E439" s="1268"/>
      <c r="F439" s="1178"/>
    </row>
    <row r="440" spans="1:6" ht="56.25">
      <c r="B440" s="1190" t="s">
        <v>2508</v>
      </c>
      <c r="C440" s="1188"/>
      <c r="D440" s="1140"/>
      <c r="E440" s="1268"/>
      <c r="F440" s="1178"/>
    </row>
    <row r="441" spans="1:6" ht="213.75">
      <c r="B441" s="1190" t="s">
        <v>2509</v>
      </c>
      <c r="C441" s="1188"/>
      <c r="D441" s="1140"/>
      <c r="E441" s="1268"/>
      <c r="F441" s="1178"/>
    </row>
    <row r="442" spans="1:6" ht="56.25">
      <c r="B442" s="1190" t="s">
        <v>2510</v>
      </c>
      <c r="C442" s="1188"/>
      <c r="D442" s="1140"/>
      <c r="E442" s="1268"/>
      <c r="F442" s="1178"/>
    </row>
    <row r="443" spans="1:6">
      <c r="A443" s="1130">
        <f>A429+0.001</f>
        <v>1.708</v>
      </c>
      <c r="B443" s="1190" t="s">
        <v>2511</v>
      </c>
      <c r="C443" s="1172" t="s">
        <v>2243</v>
      </c>
      <c r="D443" s="1159">
        <v>2</v>
      </c>
      <c r="E443" s="1266"/>
      <c r="F443" s="1135">
        <f>E443*D443</f>
        <v>0</v>
      </c>
    </row>
    <row r="444" spans="1:6">
      <c r="B444" s="1190" t="s">
        <v>2512</v>
      </c>
      <c r="C444" s="1188"/>
      <c r="D444" s="1140"/>
      <c r="E444" s="1268"/>
      <c r="F444" s="1178"/>
    </row>
    <row r="445" spans="1:6">
      <c r="B445" s="1190" t="s">
        <v>2513</v>
      </c>
      <c r="C445" s="1188"/>
      <c r="D445" s="1140"/>
      <c r="E445" s="1268"/>
      <c r="F445" s="1178"/>
    </row>
    <row r="446" spans="1:6">
      <c r="B446" s="1190" t="s">
        <v>2514</v>
      </c>
      <c r="C446" s="1188"/>
      <c r="D446" s="1140"/>
      <c r="E446" s="1268"/>
      <c r="F446" s="1178"/>
    </row>
    <row r="447" spans="1:6">
      <c r="B447" s="1190" t="s">
        <v>2515</v>
      </c>
      <c r="C447" s="1188"/>
      <c r="D447" s="1140"/>
      <c r="E447" s="1268"/>
      <c r="F447" s="1178"/>
    </row>
    <row r="448" spans="1:6">
      <c r="B448" s="1190" t="s">
        <v>2516</v>
      </c>
      <c r="C448" s="1188"/>
      <c r="D448" s="1140"/>
      <c r="E448" s="1268"/>
      <c r="F448" s="1178"/>
    </row>
    <row r="449" spans="1:6">
      <c r="B449" s="1190" t="s">
        <v>2517</v>
      </c>
      <c r="C449" s="1188"/>
      <c r="D449" s="1140"/>
      <c r="E449" s="1268"/>
      <c r="F449" s="1178"/>
    </row>
    <row r="450" spans="1:6">
      <c r="B450" s="1190" t="s">
        <v>2518</v>
      </c>
      <c r="C450" s="1188"/>
      <c r="D450" s="1140"/>
      <c r="E450" s="1268"/>
      <c r="F450" s="1178"/>
    </row>
    <row r="451" spans="1:6">
      <c r="B451" s="1190" t="s">
        <v>2519</v>
      </c>
      <c r="C451" s="1188"/>
      <c r="D451" s="1140"/>
      <c r="E451" s="1268"/>
      <c r="F451" s="1178"/>
    </row>
    <row r="452" spans="1:6">
      <c r="B452" s="1190" t="s">
        <v>2520</v>
      </c>
      <c r="C452" s="1188"/>
      <c r="D452" s="1140"/>
      <c r="E452" s="1268"/>
      <c r="F452" s="1178"/>
    </row>
    <row r="453" spans="1:6">
      <c r="B453" s="1190" t="s">
        <v>2521</v>
      </c>
      <c r="C453" s="1188"/>
      <c r="D453" s="1140"/>
      <c r="E453" s="1268"/>
      <c r="F453" s="1178"/>
    </row>
    <row r="454" spans="1:6" ht="56.25">
      <c r="B454" s="1190" t="s">
        <v>2522</v>
      </c>
      <c r="C454" s="1188"/>
      <c r="D454" s="1140"/>
      <c r="E454" s="1268"/>
      <c r="F454" s="1178"/>
    </row>
    <row r="455" spans="1:6">
      <c r="B455" s="1190" t="s">
        <v>2523</v>
      </c>
      <c r="C455" s="1188"/>
      <c r="D455" s="1140"/>
      <c r="E455" s="1268"/>
      <c r="F455" s="1178"/>
    </row>
    <row r="456" spans="1:6">
      <c r="B456" s="1190"/>
      <c r="C456" s="1188"/>
      <c r="D456" s="1140"/>
      <c r="E456" s="1268"/>
      <c r="F456" s="1178"/>
    </row>
    <row r="457" spans="1:6">
      <c r="A457" s="1130">
        <f>A443+0.001</f>
        <v>1.7090000000000001</v>
      </c>
      <c r="B457" s="1190" t="s">
        <v>2524</v>
      </c>
      <c r="C457" s="1172" t="s">
        <v>2243</v>
      </c>
      <c r="D457" s="1159">
        <v>1</v>
      </c>
      <c r="E457" s="1266"/>
      <c r="F457" s="1135">
        <f>E457*D457</f>
        <v>0</v>
      </c>
    </row>
    <row r="458" spans="1:6">
      <c r="B458" s="1190" t="s">
        <v>2525</v>
      </c>
      <c r="C458" s="1188"/>
      <c r="D458" s="1140"/>
      <c r="E458" s="1268"/>
      <c r="F458" s="1178"/>
    </row>
    <row r="459" spans="1:6">
      <c r="B459" s="1190" t="s">
        <v>2513</v>
      </c>
      <c r="C459" s="1188"/>
      <c r="D459" s="1140"/>
      <c r="E459" s="1268"/>
      <c r="F459" s="1178"/>
    </row>
    <row r="460" spans="1:6">
      <c r="B460" s="1190" t="s">
        <v>2514</v>
      </c>
      <c r="C460" s="1188"/>
      <c r="D460" s="1140"/>
      <c r="E460" s="1268"/>
      <c r="F460" s="1178"/>
    </row>
    <row r="461" spans="1:6">
      <c r="B461" s="1190" t="s">
        <v>2515</v>
      </c>
      <c r="C461" s="1188"/>
      <c r="D461" s="1140"/>
      <c r="E461" s="1268"/>
      <c r="F461" s="1178"/>
    </row>
    <row r="462" spans="1:6">
      <c r="B462" s="1190" t="s">
        <v>2516</v>
      </c>
      <c r="C462" s="1188"/>
      <c r="D462" s="1140"/>
      <c r="E462" s="1268"/>
      <c r="F462" s="1178"/>
    </row>
    <row r="463" spans="1:6">
      <c r="B463" s="1190" t="s">
        <v>2517</v>
      </c>
      <c r="C463" s="1188"/>
      <c r="D463" s="1140"/>
      <c r="E463" s="1268"/>
      <c r="F463" s="1178"/>
    </row>
    <row r="464" spans="1:6">
      <c r="B464" s="1190" t="s">
        <v>2518</v>
      </c>
      <c r="C464" s="1188"/>
      <c r="D464" s="1140"/>
      <c r="E464" s="1268"/>
      <c r="F464" s="1178"/>
    </row>
    <row r="465" spans="1:6">
      <c r="B465" s="1190" t="s">
        <v>2519</v>
      </c>
      <c r="C465" s="1188"/>
      <c r="D465" s="1140"/>
      <c r="E465" s="1268"/>
      <c r="F465" s="1178"/>
    </row>
    <row r="466" spans="1:6">
      <c r="B466" s="1190" t="s">
        <v>2520</v>
      </c>
      <c r="C466" s="1188"/>
      <c r="D466" s="1140"/>
      <c r="E466" s="1268"/>
      <c r="F466" s="1178"/>
    </row>
    <row r="467" spans="1:6">
      <c r="B467" s="1190" t="s">
        <v>2521</v>
      </c>
      <c r="C467" s="1188"/>
      <c r="D467" s="1140"/>
      <c r="E467" s="1268"/>
      <c r="F467" s="1178"/>
    </row>
    <row r="468" spans="1:6" ht="56.25">
      <c r="B468" s="1190" t="s">
        <v>2522</v>
      </c>
      <c r="C468" s="1188"/>
      <c r="D468" s="1140"/>
      <c r="E468" s="1268"/>
      <c r="F468" s="1178"/>
    </row>
    <row r="469" spans="1:6">
      <c r="B469" s="1190" t="s">
        <v>2523</v>
      </c>
      <c r="C469" s="1188"/>
      <c r="D469" s="1140"/>
      <c r="E469" s="1268"/>
      <c r="F469" s="1178"/>
    </row>
    <row r="470" spans="1:6">
      <c r="B470" s="1190"/>
      <c r="C470" s="1188"/>
      <c r="D470" s="1140"/>
      <c r="E470" s="1268"/>
      <c r="F470" s="1178"/>
    </row>
    <row r="471" spans="1:6" ht="33.75">
      <c r="B471" s="1190" t="s">
        <v>2526</v>
      </c>
      <c r="C471" s="1188"/>
      <c r="D471" s="1140"/>
      <c r="E471" s="1268"/>
      <c r="F471" s="1178"/>
    </row>
    <row r="472" spans="1:6" ht="56.25">
      <c r="B472" s="1190" t="s">
        <v>2527</v>
      </c>
      <c r="C472" s="1188"/>
      <c r="D472" s="1140"/>
      <c r="E472" s="1268"/>
      <c r="F472" s="1178"/>
    </row>
    <row r="473" spans="1:6" ht="78.75">
      <c r="B473" s="1190" t="s">
        <v>2528</v>
      </c>
      <c r="C473" s="1188"/>
      <c r="D473" s="1140"/>
      <c r="E473" s="1268"/>
      <c r="F473" s="1178"/>
    </row>
    <row r="474" spans="1:6" ht="56.25">
      <c r="B474" s="1190" t="s">
        <v>2529</v>
      </c>
      <c r="C474" s="1188"/>
      <c r="D474" s="1140"/>
      <c r="E474" s="1268"/>
      <c r="F474" s="1178"/>
    </row>
    <row r="475" spans="1:6">
      <c r="B475" s="1190" t="s">
        <v>2530</v>
      </c>
      <c r="C475" s="1188"/>
      <c r="D475" s="1140"/>
      <c r="E475" s="1268"/>
      <c r="F475" s="1178"/>
    </row>
    <row r="476" spans="1:6">
      <c r="A476" s="1130">
        <f>A457+0.001</f>
        <v>1.71</v>
      </c>
      <c r="B476" s="1190" t="s">
        <v>2524</v>
      </c>
      <c r="C476" s="1172" t="s">
        <v>2243</v>
      </c>
      <c r="D476" s="1159">
        <v>4</v>
      </c>
      <c r="E476" s="1266"/>
      <c r="F476" s="1135">
        <f>E476*D476</f>
        <v>0</v>
      </c>
    </row>
    <row r="477" spans="1:6">
      <c r="B477" s="1190" t="s">
        <v>2525</v>
      </c>
      <c r="C477" s="1188"/>
      <c r="D477" s="1140"/>
      <c r="E477" s="1268"/>
      <c r="F477" s="1178"/>
    </row>
    <row r="478" spans="1:6">
      <c r="B478" s="1190" t="s">
        <v>2531</v>
      </c>
      <c r="C478" s="1188"/>
      <c r="D478" s="1140"/>
      <c r="E478" s="1268"/>
      <c r="F478" s="1178"/>
    </row>
    <row r="479" spans="1:6">
      <c r="B479" s="1190" t="s">
        <v>2532</v>
      </c>
      <c r="C479" s="1188"/>
      <c r="D479" s="1140"/>
      <c r="E479" s="1268"/>
      <c r="F479" s="1178"/>
    </row>
    <row r="480" spans="1:6">
      <c r="B480" s="1190" t="s">
        <v>2533</v>
      </c>
      <c r="C480" s="1188"/>
      <c r="D480" s="1140"/>
      <c r="E480" s="1268"/>
      <c r="F480" s="1178"/>
    </row>
    <row r="481" spans="1:6">
      <c r="B481" s="1190" t="s">
        <v>2534</v>
      </c>
      <c r="C481" s="1188"/>
      <c r="D481" s="1140"/>
      <c r="E481" s="1268"/>
      <c r="F481" s="1178"/>
    </row>
    <row r="482" spans="1:6">
      <c r="B482" s="1190" t="s">
        <v>2518</v>
      </c>
      <c r="C482" s="1188"/>
      <c r="D482" s="1140"/>
      <c r="E482" s="1268"/>
      <c r="F482" s="1178"/>
    </row>
    <row r="483" spans="1:6">
      <c r="B483" s="1190" t="s">
        <v>2519</v>
      </c>
      <c r="C483" s="1188"/>
      <c r="D483" s="1140"/>
      <c r="E483" s="1268"/>
      <c r="F483" s="1178"/>
    </row>
    <row r="484" spans="1:6">
      <c r="B484" s="1190" t="s">
        <v>2535</v>
      </c>
      <c r="C484" s="1188"/>
      <c r="D484" s="1140"/>
      <c r="E484" s="1268"/>
      <c r="F484" s="1178"/>
    </row>
    <row r="485" spans="1:6" ht="56.25">
      <c r="B485" s="1190" t="s">
        <v>2522</v>
      </c>
      <c r="C485" s="1188"/>
      <c r="D485" s="1140"/>
      <c r="E485" s="1268"/>
      <c r="F485" s="1178"/>
    </row>
    <row r="486" spans="1:6">
      <c r="B486" s="1190" t="s">
        <v>2536</v>
      </c>
      <c r="C486" s="1188"/>
      <c r="D486" s="1140"/>
      <c r="E486" s="1268"/>
      <c r="F486" s="1178"/>
    </row>
    <row r="487" spans="1:6">
      <c r="B487" s="1190"/>
      <c r="C487" s="1188"/>
      <c r="D487" s="1140"/>
      <c r="E487" s="1268"/>
      <c r="F487" s="1178"/>
    </row>
    <row r="488" spans="1:6">
      <c r="A488" s="1130">
        <f>A476+0.001</f>
        <v>1.7110000000000001</v>
      </c>
      <c r="B488" s="1190" t="s">
        <v>2537</v>
      </c>
      <c r="C488" s="1172" t="s">
        <v>2243</v>
      </c>
      <c r="D488" s="1159">
        <v>3</v>
      </c>
      <c r="E488" s="1266"/>
      <c r="F488" s="1135">
        <f>E488*D488</f>
        <v>0</v>
      </c>
    </row>
    <row r="489" spans="1:6">
      <c r="B489" s="1190" t="s">
        <v>2538</v>
      </c>
      <c r="C489" s="1188"/>
      <c r="D489" s="1140"/>
      <c r="E489" s="1268"/>
      <c r="F489" s="1178"/>
    </row>
    <row r="490" spans="1:6">
      <c r="B490" s="1190" t="s">
        <v>2539</v>
      </c>
      <c r="C490" s="1188"/>
      <c r="D490" s="1140"/>
      <c r="E490" s="1268"/>
      <c r="F490" s="1178"/>
    </row>
    <row r="491" spans="1:6">
      <c r="B491" s="1190" t="s">
        <v>2540</v>
      </c>
      <c r="C491" s="1188"/>
      <c r="D491" s="1140"/>
      <c r="E491" s="1268"/>
      <c r="F491" s="1178"/>
    </row>
    <row r="492" spans="1:6">
      <c r="B492" s="1190" t="s">
        <v>2533</v>
      </c>
      <c r="C492" s="1188"/>
      <c r="D492" s="1140"/>
      <c r="E492" s="1268"/>
      <c r="F492" s="1178"/>
    </row>
    <row r="493" spans="1:6">
      <c r="B493" s="1190" t="s">
        <v>2541</v>
      </c>
      <c r="C493" s="1188"/>
      <c r="D493" s="1140"/>
      <c r="E493" s="1268"/>
      <c r="F493" s="1178"/>
    </row>
    <row r="494" spans="1:6">
      <c r="B494" s="1190" t="s">
        <v>2518</v>
      </c>
      <c r="C494" s="1188"/>
      <c r="D494" s="1140"/>
      <c r="E494" s="1268"/>
      <c r="F494" s="1178"/>
    </row>
    <row r="495" spans="1:6">
      <c r="B495" s="1190" t="s">
        <v>2519</v>
      </c>
      <c r="C495" s="1188"/>
      <c r="D495" s="1140"/>
      <c r="E495" s="1268"/>
      <c r="F495" s="1178"/>
    </row>
    <row r="496" spans="1:6">
      <c r="B496" s="1190" t="s">
        <v>2535</v>
      </c>
      <c r="C496" s="1188"/>
      <c r="D496" s="1140"/>
      <c r="E496" s="1268"/>
      <c r="F496" s="1178"/>
    </row>
    <row r="497" spans="1:6" ht="56.25">
      <c r="B497" s="1190" t="s">
        <v>2522</v>
      </c>
      <c r="C497" s="1188"/>
      <c r="D497" s="1140"/>
      <c r="E497" s="1268"/>
      <c r="F497" s="1178"/>
    </row>
    <row r="498" spans="1:6">
      <c r="B498" s="1190" t="s">
        <v>2536</v>
      </c>
      <c r="C498" s="1188"/>
      <c r="D498" s="1140"/>
      <c r="E498" s="1268"/>
      <c r="F498" s="1178"/>
    </row>
    <row r="499" spans="1:6">
      <c r="B499" s="1190"/>
      <c r="C499" s="1188"/>
      <c r="D499" s="1140"/>
      <c r="E499" s="1268"/>
      <c r="F499" s="1178"/>
    </row>
    <row r="500" spans="1:6">
      <c r="A500" s="1130">
        <f>A488+0.001</f>
        <v>1.712</v>
      </c>
      <c r="B500" s="1190" t="s">
        <v>2511</v>
      </c>
      <c r="C500" s="1172" t="s">
        <v>2243</v>
      </c>
      <c r="D500" s="1159">
        <v>2</v>
      </c>
      <c r="E500" s="1266"/>
      <c r="F500" s="1135">
        <f>E500*D500</f>
        <v>0</v>
      </c>
    </row>
    <row r="501" spans="1:6">
      <c r="B501" s="1190" t="s">
        <v>2512</v>
      </c>
      <c r="C501" s="1188"/>
      <c r="D501" s="1140"/>
      <c r="E501" s="1268"/>
      <c r="F501" s="1178"/>
    </row>
    <row r="502" spans="1:6">
      <c r="B502" s="1190" t="s">
        <v>2542</v>
      </c>
      <c r="C502" s="1188"/>
      <c r="D502" s="1140"/>
      <c r="E502" s="1268"/>
      <c r="F502" s="1178"/>
    </row>
    <row r="503" spans="1:6">
      <c r="B503" s="1190" t="s">
        <v>2543</v>
      </c>
      <c r="C503" s="1188"/>
      <c r="D503" s="1140"/>
      <c r="E503" s="1268"/>
      <c r="F503" s="1178"/>
    </row>
    <row r="504" spans="1:6">
      <c r="B504" s="1190" t="s">
        <v>2533</v>
      </c>
      <c r="C504" s="1188"/>
      <c r="D504" s="1140"/>
      <c r="E504" s="1268"/>
      <c r="F504" s="1178"/>
    </row>
    <row r="505" spans="1:6">
      <c r="B505" s="1190" t="s">
        <v>2544</v>
      </c>
      <c r="C505" s="1188"/>
      <c r="D505" s="1140"/>
      <c r="E505" s="1268"/>
      <c r="F505" s="1178"/>
    </row>
    <row r="506" spans="1:6">
      <c r="B506" s="1190" t="s">
        <v>2518</v>
      </c>
      <c r="C506" s="1188"/>
      <c r="D506" s="1140"/>
      <c r="E506" s="1268"/>
      <c r="F506" s="1178"/>
    </row>
    <row r="507" spans="1:6">
      <c r="B507" s="1190" t="s">
        <v>2519</v>
      </c>
      <c r="C507" s="1188"/>
      <c r="D507" s="1140"/>
      <c r="E507" s="1268"/>
      <c r="F507" s="1178"/>
    </row>
    <row r="508" spans="1:6">
      <c r="B508" s="1190" t="s">
        <v>2535</v>
      </c>
      <c r="C508" s="1188"/>
      <c r="D508" s="1140"/>
      <c r="E508" s="1268"/>
      <c r="F508" s="1178"/>
    </row>
    <row r="509" spans="1:6" ht="56.25">
      <c r="B509" s="1190" t="s">
        <v>2522</v>
      </c>
      <c r="C509" s="1188"/>
      <c r="D509" s="1140"/>
      <c r="E509" s="1268"/>
      <c r="F509" s="1178"/>
    </row>
    <row r="510" spans="1:6">
      <c r="B510" s="1190" t="s">
        <v>2545</v>
      </c>
      <c r="C510" s="1188"/>
      <c r="D510" s="1140"/>
      <c r="E510" s="1268"/>
      <c r="F510" s="1178"/>
    </row>
    <row r="511" spans="1:6">
      <c r="B511" s="1190"/>
      <c r="C511" s="1188"/>
      <c r="D511" s="1140"/>
      <c r="E511" s="1268"/>
      <c r="F511" s="1178"/>
    </row>
    <row r="512" spans="1:6">
      <c r="A512" s="1130">
        <f>A500+0.001</f>
        <v>1.7130000000000001</v>
      </c>
      <c r="B512" s="1190" t="s">
        <v>2546</v>
      </c>
      <c r="C512" s="1172" t="s">
        <v>2243</v>
      </c>
      <c r="D512" s="1159">
        <v>2</v>
      </c>
      <c r="E512" s="1266"/>
      <c r="F512" s="1135">
        <f>E512*D512</f>
        <v>0</v>
      </c>
    </row>
    <row r="513" spans="1:6">
      <c r="B513" s="1190" t="s">
        <v>2547</v>
      </c>
      <c r="C513" s="1188"/>
      <c r="D513" s="1140"/>
      <c r="E513" s="1268"/>
      <c r="F513" s="1178"/>
    </row>
    <row r="514" spans="1:6">
      <c r="B514" s="1190" t="s">
        <v>2548</v>
      </c>
      <c r="C514" s="1188"/>
      <c r="D514" s="1140"/>
      <c r="E514" s="1268"/>
      <c r="F514" s="1178"/>
    </row>
    <row r="515" spans="1:6">
      <c r="B515" s="1190" t="s">
        <v>2531</v>
      </c>
      <c r="C515" s="1188"/>
      <c r="D515" s="1140"/>
      <c r="E515" s="1268"/>
      <c r="F515" s="1178"/>
    </row>
    <row r="516" spans="1:6">
      <c r="B516" s="1190" t="s">
        <v>2532</v>
      </c>
      <c r="C516" s="1188"/>
      <c r="D516" s="1140"/>
      <c r="E516" s="1268"/>
      <c r="F516" s="1178"/>
    </row>
    <row r="517" spans="1:6">
      <c r="B517" s="1190" t="s">
        <v>2533</v>
      </c>
      <c r="C517" s="1188"/>
      <c r="D517" s="1140"/>
      <c r="E517" s="1268"/>
      <c r="F517" s="1178"/>
    </row>
    <row r="518" spans="1:6">
      <c r="B518" s="1190" t="s">
        <v>2534</v>
      </c>
      <c r="C518" s="1188"/>
      <c r="D518" s="1140"/>
      <c r="E518" s="1268"/>
      <c r="F518" s="1178"/>
    </row>
    <row r="519" spans="1:6">
      <c r="B519" s="1190" t="s">
        <v>2518</v>
      </c>
      <c r="C519" s="1188"/>
      <c r="D519" s="1140"/>
      <c r="E519" s="1268"/>
      <c r="F519" s="1178"/>
    </row>
    <row r="520" spans="1:6">
      <c r="B520" s="1190" t="s">
        <v>2519</v>
      </c>
      <c r="C520" s="1188"/>
      <c r="D520" s="1140"/>
      <c r="E520" s="1268"/>
      <c r="F520" s="1178"/>
    </row>
    <row r="521" spans="1:6">
      <c r="B521" s="1190" t="s">
        <v>2535</v>
      </c>
      <c r="C521" s="1188"/>
      <c r="D521" s="1140"/>
      <c r="E521" s="1268"/>
      <c r="F521" s="1178"/>
    </row>
    <row r="522" spans="1:6" ht="56.25">
      <c r="B522" s="1190" t="s">
        <v>2522</v>
      </c>
      <c r="C522" s="1188"/>
      <c r="D522" s="1140"/>
      <c r="E522" s="1268"/>
      <c r="F522" s="1178"/>
    </row>
    <row r="523" spans="1:6">
      <c r="B523" s="1190" t="s">
        <v>2536</v>
      </c>
      <c r="C523" s="1188"/>
      <c r="D523" s="1140"/>
      <c r="E523" s="1268"/>
      <c r="F523" s="1178"/>
    </row>
    <row r="524" spans="1:6">
      <c r="B524" s="1190"/>
      <c r="C524" s="1188"/>
      <c r="D524" s="1140"/>
      <c r="E524" s="1268"/>
      <c r="F524" s="1178"/>
    </row>
    <row r="525" spans="1:6">
      <c r="B525" s="1190" t="s">
        <v>2549</v>
      </c>
      <c r="C525" s="1188"/>
      <c r="D525" s="1140"/>
      <c r="E525" s="1268"/>
      <c r="F525" s="1178"/>
    </row>
    <row r="526" spans="1:6" ht="56.25">
      <c r="A526" s="1130">
        <f>A512+0.001</f>
        <v>1.714</v>
      </c>
      <c r="B526" s="1190" t="s">
        <v>2550</v>
      </c>
      <c r="C526" s="1172" t="s">
        <v>2243</v>
      </c>
      <c r="D526" s="1159">
        <v>83</v>
      </c>
      <c r="E526" s="1266"/>
      <c r="F526" s="1135">
        <f>E526*D526</f>
        <v>0</v>
      </c>
    </row>
    <row r="527" spans="1:6">
      <c r="B527" s="1190" t="s">
        <v>2551</v>
      </c>
      <c r="C527" s="1188"/>
      <c r="D527" s="1140"/>
      <c r="E527" s="1268"/>
      <c r="F527" s="1178"/>
    </row>
    <row r="528" spans="1:6">
      <c r="B528" s="1190" t="s">
        <v>2552</v>
      </c>
      <c r="C528" s="1188"/>
      <c r="D528" s="1140"/>
      <c r="E528" s="1268"/>
      <c r="F528" s="1178"/>
    </row>
    <row r="529" spans="1:6">
      <c r="B529" s="1190" t="s">
        <v>2553</v>
      </c>
      <c r="C529" s="1188"/>
      <c r="D529" s="1140"/>
      <c r="E529" s="1268"/>
      <c r="F529" s="1178"/>
    </row>
    <row r="530" spans="1:6">
      <c r="B530" s="1190" t="s">
        <v>2554</v>
      </c>
      <c r="C530" s="1188"/>
      <c r="D530" s="1140"/>
      <c r="E530" s="1268"/>
      <c r="F530" s="1178"/>
    </row>
    <row r="531" spans="1:6" ht="22.5">
      <c r="B531" s="1190" t="s">
        <v>2555</v>
      </c>
      <c r="C531" s="1188"/>
      <c r="D531" s="1140"/>
      <c r="E531" s="1268"/>
      <c r="F531" s="1178"/>
    </row>
    <row r="532" spans="1:6">
      <c r="B532" s="1190" t="s">
        <v>2556</v>
      </c>
      <c r="C532" s="1188"/>
      <c r="D532" s="1140"/>
      <c r="E532" s="1268"/>
      <c r="F532" s="1178"/>
    </row>
    <row r="533" spans="1:6">
      <c r="B533" s="1190" t="s">
        <v>2557</v>
      </c>
      <c r="C533" s="1188"/>
      <c r="D533" s="1140"/>
      <c r="E533" s="1268"/>
      <c r="F533" s="1178"/>
    </row>
    <row r="534" spans="1:6">
      <c r="B534" s="1190" t="s">
        <v>2558</v>
      </c>
      <c r="C534" s="1188"/>
      <c r="D534" s="1140"/>
      <c r="E534" s="1268"/>
      <c r="F534" s="1178"/>
    </row>
    <row r="535" spans="1:6">
      <c r="B535" s="1190" t="s">
        <v>2559</v>
      </c>
      <c r="C535" s="1188"/>
      <c r="D535" s="1140"/>
      <c r="E535" s="1268"/>
      <c r="F535" s="1178"/>
    </row>
    <row r="536" spans="1:6">
      <c r="B536" s="1190"/>
      <c r="C536" s="1188"/>
      <c r="D536" s="1140"/>
      <c r="E536" s="1268"/>
      <c r="F536" s="1178"/>
    </row>
    <row r="537" spans="1:6" ht="45">
      <c r="A537" s="1130">
        <f>A526+0.001</f>
        <v>1.7150000000000001</v>
      </c>
      <c r="B537" s="1191" t="s">
        <v>2560</v>
      </c>
      <c r="C537" s="1172" t="s">
        <v>2243</v>
      </c>
      <c r="D537" s="1159">
        <v>1</v>
      </c>
      <c r="E537" s="1266"/>
      <c r="F537" s="1135">
        <f>E537*D537</f>
        <v>0</v>
      </c>
    </row>
    <row r="538" spans="1:6" ht="33.75">
      <c r="B538" s="1190" t="s">
        <v>2561</v>
      </c>
      <c r="C538" s="1188"/>
      <c r="D538" s="1140"/>
      <c r="E538" s="1268"/>
      <c r="F538" s="1178"/>
    </row>
    <row r="539" spans="1:6">
      <c r="B539" s="1190" t="s">
        <v>2562</v>
      </c>
      <c r="C539" s="1188"/>
      <c r="D539" s="1140"/>
      <c r="E539" s="1268"/>
      <c r="F539" s="1178"/>
    </row>
    <row r="540" spans="1:6">
      <c r="B540" s="1190" t="s">
        <v>2563</v>
      </c>
      <c r="C540" s="1188"/>
      <c r="D540" s="1140"/>
      <c r="E540" s="1268"/>
      <c r="F540" s="1178"/>
    </row>
    <row r="541" spans="1:6" ht="22.5">
      <c r="B541" s="1190" t="s">
        <v>2564</v>
      </c>
      <c r="C541" s="1188"/>
      <c r="D541" s="1140"/>
      <c r="E541" s="1268"/>
      <c r="F541" s="1178"/>
    </row>
    <row r="542" spans="1:6">
      <c r="B542" s="1190" t="s">
        <v>2565</v>
      </c>
      <c r="C542" s="1188"/>
      <c r="D542" s="1140"/>
      <c r="E542" s="1268"/>
      <c r="F542" s="1178"/>
    </row>
    <row r="543" spans="1:6">
      <c r="B543" s="1190" t="s">
        <v>2566</v>
      </c>
      <c r="C543" s="1188"/>
      <c r="D543" s="1140"/>
      <c r="E543" s="1268"/>
      <c r="F543" s="1178"/>
    </row>
    <row r="544" spans="1:6">
      <c r="B544" s="1190" t="s">
        <v>2567</v>
      </c>
      <c r="C544" s="1188"/>
      <c r="D544" s="1140"/>
      <c r="E544" s="1268"/>
      <c r="F544" s="1178"/>
    </row>
    <row r="545" spans="2:6" ht="22.5">
      <c r="B545" s="1190" t="s">
        <v>2568</v>
      </c>
      <c r="C545" s="1188"/>
      <c r="D545" s="1140"/>
      <c r="E545" s="1268"/>
      <c r="F545" s="1178"/>
    </row>
    <row r="546" spans="2:6" ht="22.5">
      <c r="B546" s="1190" t="s">
        <v>2569</v>
      </c>
      <c r="C546" s="1188"/>
      <c r="D546" s="1140"/>
      <c r="E546" s="1268"/>
      <c r="F546" s="1178"/>
    </row>
    <row r="547" spans="2:6">
      <c r="B547" s="1190" t="s">
        <v>2570</v>
      </c>
      <c r="C547" s="1188"/>
      <c r="D547" s="1140"/>
      <c r="E547" s="1268"/>
      <c r="F547" s="1178"/>
    </row>
    <row r="548" spans="2:6">
      <c r="B548" s="1190" t="s">
        <v>2571</v>
      </c>
      <c r="C548" s="1188"/>
      <c r="D548" s="1140"/>
      <c r="E548" s="1268"/>
      <c r="F548" s="1178"/>
    </row>
    <row r="549" spans="2:6">
      <c r="B549" s="1190" t="s">
        <v>2572</v>
      </c>
      <c r="C549" s="1188"/>
      <c r="D549" s="1140"/>
      <c r="E549" s="1268"/>
      <c r="F549" s="1178"/>
    </row>
    <row r="550" spans="2:6">
      <c r="B550" s="1190" t="s">
        <v>2573</v>
      </c>
      <c r="C550" s="1188"/>
      <c r="D550" s="1140"/>
      <c r="E550" s="1268"/>
      <c r="F550" s="1178"/>
    </row>
    <row r="551" spans="2:6">
      <c r="B551" s="1190" t="s">
        <v>2574</v>
      </c>
      <c r="C551" s="1188"/>
      <c r="D551" s="1140"/>
      <c r="E551" s="1268"/>
      <c r="F551" s="1178"/>
    </row>
    <row r="552" spans="2:6">
      <c r="B552" s="1190" t="s">
        <v>2575</v>
      </c>
      <c r="C552" s="1188"/>
      <c r="D552" s="1140"/>
      <c r="E552" s="1268"/>
      <c r="F552" s="1178"/>
    </row>
    <row r="553" spans="2:6">
      <c r="B553" s="1190" t="s">
        <v>2576</v>
      </c>
      <c r="C553" s="1188"/>
      <c r="D553" s="1140"/>
      <c r="E553" s="1268"/>
      <c r="F553" s="1178"/>
    </row>
    <row r="554" spans="2:6">
      <c r="B554" s="1190" t="s">
        <v>2577</v>
      </c>
      <c r="C554" s="1188"/>
      <c r="D554" s="1140"/>
      <c r="E554" s="1268"/>
      <c r="F554" s="1178"/>
    </row>
    <row r="555" spans="2:6">
      <c r="B555" s="1190" t="s">
        <v>2578</v>
      </c>
      <c r="C555" s="1188"/>
      <c r="D555" s="1140"/>
      <c r="E555" s="1268"/>
      <c r="F555" s="1178"/>
    </row>
    <row r="556" spans="2:6" ht="22.5">
      <c r="B556" s="1190" t="s">
        <v>2579</v>
      </c>
      <c r="C556" s="1188"/>
      <c r="D556" s="1140"/>
      <c r="E556" s="1268"/>
      <c r="F556" s="1178"/>
    </row>
    <row r="557" spans="2:6" ht="33.75">
      <c r="B557" s="1190" t="s">
        <v>2580</v>
      </c>
      <c r="C557" s="1188"/>
      <c r="D557" s="1140"/>
      <c r="E557" s="1268"/>
      <c r="F557" s="1178"/>
    </row>
    <row r="558" spans="2:6">
      <c r="B558" s="1190" t="s">
        <v>2581</v>
      </c>
      <c r="C558" s="1188"/>
      <c r="D558" s="1140"/>
      <c r="E558" s="1268"/>
      <c r="F558" s="1178"/>
    </row>
    <row r="559" spans="2:6">
      <c r="B559" s="1190" t="s">
        <v>2582</v>
      </c>
      <c r="C559" s="1188"/>
      <c r="D559" s="1140"/>
      <c r="E559" s="1268"/>
      <c r="F559" s="1178"/>
    </row>
    <row r="560" spans="2:6" ht="22.5">
      <c r="B560" s="1190" t="s">
        <v>2583</v>
      </c>
      <c r="C560" s="1188"/>
      <c r="D560" s="1140"/>
      <c r="E560" s="1268"/>
      <c r="F560" s="1178"/>
    </row>
    <row r="561" spans="2:6" ht="56.25">
      <c r="B561" s="1190" t="s">
        <v>2584</v>
      </c>
      <c r="C561" s="1188"/>
      <c r="D561" s="1140"/>
      <c r="E561" s="1268"/>
      <c r="F561" s="1178"/>
    </row>
    <row r="562" spans="2:6" ht="22.5">
      <c r="B562" s="1190" t="s">
        <v>2585</v>
      </c>
      <c r="C562" s="1188"/>
      <c r="D562" s="1140"/>
      <c r="E562" s="1268"/>
      <c r="F562" s="1178"/>
    </row>
    <row r="563" spans="2:6">
      <c r="B563" s="1190" t="s">
        <v>2586</v>
      </c>
      <c r="C563" s="1188"/>
      <c r="D563" s="1140"/>
      <c r="E563" s="1268"/>
      <c r="F563" s="1178"/>
    </row>
    <row r="564" spans="2:6">
      <c r="B564" s="1190" t="s">
        <v>2587</v>
      </c>
      <c r="C564" s="1188"/>
      <c r="D564" s="1140"/>
      <c r="E564" s="1268"/>
      <c r="F564" s="1178"/>
    </row>
    <row r="565" spans="2:6" ht="22.5">
      <c r="B565" s="1190" t="s">
        <v>2588</v>
      </c>
      <c r="C565" s="1188"/>
      <c r="D565" s="1140"/>
      <c r="E565" s="1268"/>
      <c r="F565" s="1178"/>
    </row>
    <row r="566" spans="2:6">
      <c r="B566" s="1190" t="s">
        <v>2589</v>
      </c>
      <c r="C566" s="1188"/>
      <c r="D566" s="1140"/>
      <c r="E566" s="1268"/>
      <c r="F566" s="1178"/>
    </row>
    <row r="567" spans="2:6">
      <c r="B567" s="1190" t="s">
        <v>2590</v>
      </c>
      <c r="C567" s="1188"/>
      <c r="D567" s="1140"/>
      <c r="E567" s="1268"/>
      <c r="F567" s="1178"/>
    </row>
    <row r="568" spans="2:6">
      <c r="B568" s="1190" t="s">
        <v>2591</v>
      </c>
      <c r="C568" s="1188"/>
      <c r="D568" s="1140"/>
      <c r="E568" s="1268"/>
      <c r="F568" s="1178"/>
    </row>
    <row r="569" spans="2:6" ht="22.5">
      <c r="B569" s="1190" t="s">
        <v>2592</v>
      </c>
      <c r="C569" s="1188"/>
      <c r="D569" s="1140"/>
      <c r="E569" s="1268"/>
      <c r="F569" s="1178"/>
    </row>
    <row r="570" spans="2:6">
      <c r="B570" s="1190" t="s">
        <v>2593</v>
      </c>
      <c r="C570" s="1188"/>
      <c r="D570" s="1140"/>
      <c r="E570" s="1268"/>
      <c r="F570" s="1178"/>
    </row>
    <row r="571" spans="2:6">
      <c r="B571" s="1190" t="s">
        <v>2594</v>
      </c>
      <c r="C571" s="1188"/>
      <c r="D571" s="1140"/>
      <c r="E571" s="1268"/>
      <c r="F571" s="1178"/>
    </row>
    <row r="572" spans="2:6">
      <c r="B572" s="1190" t="s">
        <v>2595</v>
      </c>
      <c r="C572" s="1188"/>
      <c r="D572" s="1140"/>
      <c r="E572" s="1268"/>
      <c r="F572" s="1178"/>
    </row>
    <row r="573" spans="2:6">
      <c r="B573" s="1190" t="s">
        <v>2596</v>
      </c>
      <c r="C573" s="1188"/>
      <c r="D573" s="1140"/>
      <c r="E573" s="1268"/>
      <c r="F573" s="1178"/>
    </row>
    <row r="574" spans="2:6" ht="22.5">
      <c r="B574" s="1190" t="s">
        <v>2597</v>
      </c>
      <c r="C574" s="1188"/>
      <c r="D574" s="1140"/>
      <c r="E574" s="1268"/>
      <c r="F574" s="1178"/>
    </row>
    <row r="575" spans="2:6">
      <c r="B575" s="1190" t="s">
        <v>2598</v>
      </c>
      <c r="C575" s="1188"/>
      <c r="D575" s="1140"/>
      <c r="E575" s="1268"/>
      <c r="F575" s="1178"/>
    </row>
    <row r="576" spans="2:6">
      <c r="B576" s="1190" t="s">
        <v>2599</v>
      </c>
      <c r="C576" s="1188"/>
      <c r="D576" s="1140"/>
      <c r="E576" s="1268"/>
      <c r="F576" s="1178"/>
    </row>
    <row r="577" spans="1:6">
      <c r="B577" s="1190" t="s">
        <v>2600</v>
      </c>
      <c r="C577" s="1188"/>
      <c r="D577" s="1140"/>
      <c r="E577" s="1268"/>
      <c r="F577" s="1178"/>
    </row>
    <row r="578" spans="1:6">
      <c r="B578" s="1190" t="s">
        <v>2601</v>
      </c>
      <c r="C578" s="1188"/>
      <c r="D578" s="1140"/>
      <c r="E578" s="1268"/>
      <c r="F578" s="1178"/>
    </row>
    <row r="579" spans="1:6">
      <c r="B579" s="1190" t="s">
        <v>2602</v>
      </c>
      <c r="C579" s="1188"/>
      <c r="D579" s="1140"/>
      <c r="E579" s="1268"/>
      <c r="F579" s="1178"/>
    </row>
    <row r="580" spans="1:6">
      <c r="B580" s="1190" t="s">
        <v>2603</v>
      </c>
      <c r="C580" s="1188"/>
      <c r="D580" s="1140"/>
      <c r="E580" s="1268"/>
      <c r="F580" s="1178"/>
    </row>
    <row r="581" spans="1:6" ht="22.5">
      <c r="B581" s="1190" t="s">
        <v>2604</v>
      </c>
      <c r="C581" s="1188"/>
      <c r="D581" s="1140"/>
      <c r="E581" s="1268"/>
      <c r="F581" s="1178"/>
    </row>
    <row r="582" spans="1:6">
      <c r="B582" s="1190" t="s">
        <v>2605</v>
      </c>
      <c r="C582" s="1188"/>
      <c r="D582" s="1140"/>
      <c r="E582" s="1268"/>
      <c r="F582" s="1178"/>
    </row>
    <row r="583" spans="1:6">
      <c r="B583" s="1190" t="s">
        <v>2606</v>
      </c>
      <c r="C583" s="1188"/>
      <c r="D583" s="1140"/>
      <c r="E583" s="1268"/>
      <c r="F583" s="1178"/>
    </row>
    <row r="584" spans="1:6">
      <c r="B584" s="1190" t="s">
        <v>2607</v>
      </c>
      <c r="C584" s="1188"/>
      <c r="D584" s="1140"/>
      <c r="E584" s="1268"/>
      <c r="F584" s="1178"/>
    </row>
    <row r="585" spans="1:6">
      <c r="B585" s="1190" t="s">
        <v>2608</v>
      </c>
      <c r="C585" s="1188"/>
      <c r="D585" s="1140"/>
      <c r="E585" s="1268"/>
      <c r="F585" s="1178"/>
    </row>
    <row r="586" spans="1:6">
      <c r="B586" s="1190" t="s">
        <v>2609</v>
      </c>
      <c r="C586" s="1188"/>
      <c r="D586" s="1140"/>
      <c r="E586" s="1268"/>
      <c r="F586" s="1178"/>
    </row>
    <row r="587" spans="1:6">
      <c r="B587" s="1190" t="s">
        <v>2610</v>
      </c>
      <c r="C587" s="1188"/>
      <c r="D587" s="1140"/>
      <c r="E587" s="1268"/>
      <c r="F587" s="1178"/>
    </row>
    <row r="588" spans="1:6">
      <c r="B588" s="1190"/>
      <c r="C588" s="1188"/>
      <c r="D588" s="1140"/>
      <c r="E588" s="1268"/>
      <c r="F588" s="1178"/>
    </row>
    <row r="589" spans="1:6" ht="33.75">
      <c r="A589" s="1130">
        <f>A537+0.001</f>
        <v>1.716</v>
      </c>
      <c r="B589" s="1190" t="s">
        <v>2611</v>
      </c>
      <c r="C589" s="1188"/>
      <c r="D589" s="1140"/>
      <c r="E589" s="1268"/>
      <c r="F589" s="1178"/>
    </row>
    <row r="590" spans="1:6">
      <c r="B590" s="1190" t="s">
        <v>2612</v>
      </c>
      <c r="C590" s="1188"/>
      <c r="D590" s="1140"/>
      <c r="E590" s="1268"/>
      <c r="F590" s="1178"/>
    </row>
    <row r="591" spans="1:6" ht="22.5">
      <c r="B591" s="1190" t="s">
        <v>2613</v>
      </c>
      <c r="C591" s="1188" t="s">
        <v>34</v>
      </c>
      <c r="D591" s="1140">
        <v>47</v>
      </c>
      <c r="E591" s="1268"/>
      <c r="F591" s="1135">
        <f>E591*D591</f>
        <v>0</v>
      </c>
    </row>
    <row r="592" spans="1:6">
      <c r="B592" s="1190" t="s">
        <v>2614</v>
      </c>
      <c r="C592" s="1188" t="s">
        <v>34</v>
      </c>
      <c r="D592" s="1140">
        <v>46</v>
      </c>
      <c r="E592" s="1268"/>
      <c r="F592" s="1135">
        <f>E592*D592</f>
        <v>0</v>
      </c>
    </row>
    <row r="593" spans="1:6">
      <c r="B593" s="1190"/>
      <c r="C593" s="1188"/>
      <c r="D593" s="1140"/>
      <c r="E593" s="1268"/>
      <c r="F593" s="1178"/>
    </row>
    <row r="594" spans="1:6" ht="56.25">
      <c r="A594" s="1130">
        <f>A589+0.001</f>
        <v>1.7170000000000001</v>
      </c>
      <c r="B594" s="1190" t="s">
        <v>2615</v>
      </c>
      <c r="C594" s="1188"/>
      <c r="D594" s="1140"/>
      <c r="E594" s="1268"/>
      <c r="F594" s="1178"/>
    </row>
    <row r="595" spans="1:6">
      <c r="B595" s="1190" t="s">
        <v>2616</v>
      </c>
      <c r="C595" s="1188" t="s">
        <v>1160</v>
      </c>
      <c r="D595" s="1140">
        <v>348</v>
      </c>
      <c r="E595" s="1266"/>
      <c r="F595" s="1135">
        <f>E595*D595</f>
        <v>0</v>
      </c>
    </row>
    <row r="596" spans="1:6">
      <c r="B596" s="1190" t="s">
        <v>2617</v>
      </c>
      <c r="C596" s="1188" t="s">
        <v>1160</v>
      </c>
      <c r="D596" s="1140">
        <v>388</v>
      </c>
      <c r="E596" s="1266"/>
      <c r="F596" s="1135">
        <f>E596*D596</f>
        <v>0</v>
      </c>
    </row>
    <row r="597" spans="1:6">
      <c r="B597" s="1190" t="s">
        <v>2618</v>
      </c>
      <c r="C597" s="1188" t="s">
        <v>1160</v>
      </c>
      <c r="D597" s="1140">
        <v>392</v>
      </c>
      <c r="E597" s="1266"/>
      <c r="F597" s="1135">
        <f>E597*D597</f>
        <v>0</v>
      </c>
    </row>
    <row r="598" spans="1:6">
      <c r="B598" s="1190" t="s">
        <v>2619</v>
      </c>
      <c r="C598" s="1188" t="s">
        <v>1160</v>
      </c>
      <c r="D598" s="1140">
        <v>98</v>
      </c>
      <c r="E598" s="1266"/>
      <c r="F598" s="1135">
        <f>E598*D598</f>
        <v>0</v>
      </c>
    </row>
    <row r="599" spans="1:6">
      <c r="B599" s="1190" t="s">
        <v>2620</v>
      </c>
      <c r="C599" s="1188" t="s">
        <v>1160</v>
      </c>
      <c r="D599" s="1140">
        <v>96</v>
      </c>
      <c r="E599" s="1266"/>
      <c r="F599" s="1135">
        <f>E599*D599</f>
        <v>0</v>
      </c>
    </row>
    <row r="600" spans="1:6">
      <c r="B600" s="1190"/>
      <c r="C600" s="1188"/>
      <c r="D600" s="1140"/>
      <c r="E600" s="1268"/>
      <c r="F600" s="1178"/>
    </row>
    <row r="601" spans="1:6" ht="56.25">
      <c r="A601" s="1130">
        <f>A594+0.001</f>
        <v>1.718</v>
      </c>
      <c r="B601" s="1190" t="s">
        <v>2621</v>
      </c>
      <c r="C601" s="1188"/>
      <c r="D601" s="1140"/>
      <c r="E601" s="1268"/>
      <c r="F601" s="1178"/>
    </row>
    <row r="602" spans="1:6">
      <c r="B602" s="1190" t="s">
        <v>2622</v>
      </c>
      <c r="C602" s="1188" t="s">
        <v>1160</v>
      </c>
      <c r="D602" s="1140">
        <v>148</v>
      </c>
      <c r="E602" s="1268"/>
      <c r="F602" s="1135">
        <f>E602*D602</f>
        <v>0</v>
      </c>
    </row>
    <row r="603" spans="1:6">
      <c r="B603" s="1190"/>
      <c r="C603" s="1188"/>
      <c r="D603" s="1140"/>
      <c r="E603" s="1268"/>
      <c r="F603" s="1135"/>
    </row>
    <row r="604" spans="1:6">
      <c r="B604" s="1190" t="s">
        <v>2623</v>
      </c>
      <c r="C604" s="1188"/>
      <c r="D604" s="1140"/>
      <c r="E604" s="1268"/>
      <c r="F604" s="1135"/>
    </row>
    <row r="605" spans="1:6" ht="56.25">
      <c r="A605" s="1130">
        <f>A601+0.001</f>
        <v>1.7190000000000001</v>
      </c>
      <c r="B605" s="1190" t="s">
        <v>2624</v>
      </c>
      <c r="C605" s="1188" t="s">
        <v>1160</v>
      </c>
      <c r="D605" s="1140">
        <v>148</v>
      </c>
      <c r="E605" s="1268"/>
      <c r="F605" s="1135">
        <f>E605*D605</f>
        <v>0</v>
      </c>
    </row>
    <row r="606" spans="1:6">
      <c r="B606" s="1190"/>
      <c r="C606" s="1188"/>
      <c r="D606" s="1140"/>
      <c r="E606" s="1268"/>
      <c r="F606" s="1135"/>
    </row>
    <row r="607" spans="1:6">
      <c r="A607" s="1130">
        <f>A605+0.001</f>
        <v>1.72</v>
      </c>
      <c r="B607" s="1190" t="s">
        <v>2625</v>
      </c>
      <c r="C607" s="1188"/>
      <c r="D607" s="1140"/>
      <c r="E607" s="1268"/>
      <c r="F607" s="1135"/>
    </row>
    <row r="608" spans="1:6">
      <c r="B608" s="1190" t="s">
        <v>2626</v>
      </c>
      <c r="C608" s="1188" t="s">
        <v>68</v>
      </c>
      <c r="D608" s="1140">
        <v>38</v>
      </c>
      <c r="E608" s="1268"/>
      <c r="F608" s="1135">
        <f>E608*D608</f>
        <v>0</v>
      </c>
    </row>
    <row r="609" spans="1:6">
      <c r="B609" s="1190"/>
      <c r="C609" s="1188"/>
      <c r="D609" s="1140"/>
      <c r="E609" s="1268"/>
      <c r="F609" s="1135"/>
    </row>
    <row r="610" spans="1:6">
      <c r="A610" s="1130">
        <f>A607+0.001</f>
        <v>1.7210000000000001</v>
      </c>
      <c r="B610" s="1190" t="s">
        <v>2627</v>
      </c>
      <c r="C610" s="1188" t="s">
        <v>1160</v>
      </c>
      <c r="D610" s="1140">
        <v>612</v>
      </c>
      <c r="E610" s="1268"/>
      <c r="F610" s="1135">
        <f>E610*D610</f>
        <v>0</v>
      </c>
    </row>
    <row r="611" spans="1:6">
      <c r="B611" s="1190"/>
      <c r="C611" s="1188"/>
      <c r="D611" s="1140"/>
      <c r="E611" s="1268"/>
      <c r="F611" s="1135"/>
    </row>
    <row r="612" spans="1:6">
      <c r="B612" s="1190" t="s">
        <v>2628</v>
      </c>
      <c r="C612" s="1188"/>
      <c r="D612" s="1140"/>
      <c r="E612" s="1268"/>
      <c r="F612" s="1135"/>
    </row>
    <row r="613" spans="1:6" ht="56.25">
      <c r="A613" s="1130">
        <f>A610+0.001</f>
        <v>1.722</v>
      </c>
      <c r="B613" s="1190" t="s">
        <v>2629</v>
      </c>
      <c r="C613" s="1188" t="s">
        <v>34</v>
      </c>
      <c r="D613" s="1140">
        <v>10</v>
      </c>
      <c r="E613" s="1268"/>
      <c r="F613" s="1135">
        <f>E613*D613</f>
        <v>0</v>
      </c>
    </row>
    <row r="614" spans="1:6">
      <c r="B614" s="1190"/>
      <c r="C614" s="1188"/>
      <c r="D614" s="1140"/>
      <c r="E614" s="1268"/>
      <c r="F614" s="1135"/>
    </row>
    <row r="615" spans="1:6" ht="33.75">
      <c r="A615" s="1130">
        <f>A613+0.001</f>
        <v>1.7230000000000001</v>
      </c>
      <c r="B615" s="1190" t="s">
        <v>2630</v>
      </c>
      <c r="C615" s="1172" t="s">
        <v>2243</v>
      </c>
      <c r="D615" s="1159">
        <v>1</v>
      </c>
      <c r="E615" s="1266"/>
      <c r="F615" s="1135">
        <f>E615*D615</f>
        <v>0</v>
      </c>
    </row>
    <row r="616" spans="1:6">
      <c r="B616" s="1190"/>
      <c r="C616" s="1188"/>
      <c r="D616" s="1140"/>
      <c r="E616" s="1268"/>
      <c r="F616" s="1178"/>
    </row>
    <row r="617" spans="1:6" ht="45">
      <c r="A617" s="1130">
        <f>A615+0.001</f>
        <v>1.724</v>
      </c>
      <c r="B617" s="1191" t="s">
        <v>2631</v>
      </c>
      <c r="C617" s="1188"/>
      <c r="D617" s="1140"/>
      <c r="E617" s="1268"/>
      <c r="F617" s="1135"/>
    </row>
    <row r="618" spans="1:6">
      <c r="B618" s="1190" t="s">
        <v>2395</v>
      </c>
      <c r="C618" s="1188" t="s">
        <v>1160</v>
      </c>
      <c r="D618" s="1140">
        <v>488</v>
      </c>
      <c r="E618" s="1268"/>
      <c r="F618" s="1135">
        <f>E618*D618</f>
        <v>0</v>
      </c>
    </row>
    <row r="619" spans="1:6">
      <c r="B619" s="1190" t="s">
        <v>2396</v>
      </c>
      <c r="C619" s="1188" t="s">
        <v>1160</v>
      </c>
      <c r="D619" s="1140">
        <v>325</v>
      </c>
      <c r="E619" s="1268"/>
      <c r="F619" s="1135">
        <f>E619*D619</f>
        <v>0</v>
      </c>
    </row>
    <row r="620" spans="1:6">
      <c r="B620" s="1190" t="s">
        <v>2397</v>
      </c>
      <c r="C620" s="1188" t="s">
        <v>1160</v>
      </c>
      <c r="D620" s="1140">
        <v>259</v>
      </c>
      <c r="E620" s="1268"/>
      <c r="F620" s="1135">
        <f>E620*D620</f>
        <v>0</v>
      </c>
    </row>
    <row r="621" spans="1:6">
      <c r="B621" s="1190" t="s">
        <v>2399</v>
      </c>
      <c r="C621" s="1188" t="s">
        <v>1160</v>
      </c>
      <c r="D621" s="1140">
        <v>188</v>
      </c>
      <c r="E621" s="1268"/>
      <c r="F621" s="1135">
        <f>E621*D621</f>
        <v>0</v>
      </c>
    </row>
    <row r="622" spans="1:6">
      <c r="B622" s="1190"/>
      <c r="C622" s="1188"/>
      <c r="D622" s="1140"/>
      <c r="E622" s="1268"/>
      <c r="F622" s="1135"/>
    </row>
    <row r="623" spans="1:6" s="1160" customFormat="1" ht="45">
      <c r="A623" s="1130">
        <f>A617+0.001</f>
        <v>1.7250000000000001</v>
      </c>
      <c r="B623" s="1175" t="s">
        <v>2283</v>
      </c>
      <c r="C623" s="1172" t="s">
        <v>2632</v>
      </c>
      <c r="D623" s="1192">
        <v>1</v>
      </c>
      <c r="E623" s="1269"/>
      <c r="F623" s="1135">
        <f>E623*D623</f>
        <v>0</v>
      </c>
    </row>
    <row r="624" spans="1:6" s="1160" customFormat="1" ht="11.25">
      <c r="A624" s="1193"/>
      <c r="B624" s="1175"/>
      <c r="C624" s="1172"/>
      <c r="D624" s="1192"/>
      <c r="E624" s="1269"/>
      <c r="F624" s="1161"/>
    </row>
    <row r="625" spans="1:6" s="1160" customFormat="1" ht="22.5">
      <c r="A625" s="1130">
        <f>A623+0.001</f>
        <v>1.726</v>
      </c>
      <c r="B625" s="1175" t="s">
        <v>2284</v>
      </c>
      <c r="C625" s="1172" t="s">
        <v>2632</v>
      </c>
      <c r="D625" s="1192">
        <v>1</v>
      </c>
      <c r="E625" s="1269"/>
      <c r="F625" s="1135">
        <f>E625*D625</f>
        <v>0</v>
      </c>
    </row>
    <row r="626" spans="1:6" s="1160" customFormat="1" ht="11.25">
      <c r="A626" s="1193"/>
      <c r="B626" s="1175"/>
      <c r="C626" s="1172"/>
      <c r="D626" s="1192"/>
      <c r="E626" s="1269"/>
      <c r="F626" s="1161"/>
    </row>
    <row r="627" spans="1:6" s="1160" customFormat="1" ht="33.75">
      <c r="A627" s="1130">
        <f>A625+0.001</f>
        <v>1.7270000000000001</v>
      </c>
      <c r="B627" s="1175" t="s">
        <v>2285</v>
      </c>
      <c r="C627" s="1172" t="s">
        <v>2632</v>
      </c>
      <c r="D627" s="1192">
        <v>1</v>
      </c>
      <c r="E627" s="1269"/>
      <c r="F627" s="1135">
        <f>E627*D627</f>
        <v>0</v>
      </c>
    </row>
    <row r="628" spans="1:6" s="1160" customFormat="1" ht="11.25">
      <c r="A628" s="1130"/>
      <c r="B628" s="1175"/>
      <c r="C628" s="1172"/>
      <c r="D628" s="1192"/>
      <c r="E628" s="1269"/>
      <c r="F628" s="1135"/>
    </row>
    <row r="629" spans="1:6" ht="34.5">
      <c r="A629" s="1130">
        <f>A627+0.001</f>
        <v>1.728</v>
      </c>
      <c r="B629" s="1179" t="s">
        <v>2428</v>
      </c>
      <c r="C629" s="1158" t="s">
        <v>2243</v>
      </c>
      <c r="D629" s="1159">
        <v>1</v>
      </c>
      <c r="E629" s="1254"/>
      <c r="F629" s="1135">
        <f>E629*D629</f>
        <v>0</v>
      </c>
    </row>
    <row r="630" spans="1:6">
      <c r="B630" s="1179"/>
      <c r="C630" s="1158"/>
      <c r="D630" s="1159"/>
      <c r="E630" s="1254"/>
      <c r="F630" s="1135"/>
    </row>
    <row r="631" spans="1:6" s="1160" customFormat="1" ht="22.5">
      <c r="A631" s="1130">
        <f>A629+0.001</f>
        <v>1.7290000000000001</v>
      </c>
      <c r="B631" s="1175" t="s">
        <v>2429</v>
      </c>
      <c r="C631" s="1172" t="s">
        <v>2243</v>
      </c>
      <c r="D631" s="1159">
        <v>1</v>
      </c>
      <c r="E631" s="1266"/>
      <c r="F631" s="1135">
        <f>E631*D631</f>
        <v>0</v>
      </c>
    </row>
    <row r="632" spans="1:6" s="1160" customFormat="1" ht="11.25">
      <c r="A632" s="1130"/>
      <c r="B632" s="1175"/>
      <c r="C632" s="1172"/>
      <c r="D632" s="1159"/>
      <c r="E632" s="1266"/>
      <c r="F632" s="1135"/>
    </row>
    <row r="633" spans="1:6">
      <c r="A633" s="1130">
        <f>A631+0.001</f>
        <v>1.73</v>
      </c>
      <c r="B633" s="1139" t="s">
        <v>2633</v>
      </c>
      <c r="C633" s="1132" t="s">
        <v>2243</v>
      </c>
      <c r="D633" s="1177">
        <v>3</v>
      </c>
      <c r="E633" s="1254"/>
      <c r="F633" s="1135">
        <f>E633*D633</f>
        <v>0</v>
      </c>
    </row>
    <row r="634" spans="1:6" ht="57">
      <c r="B634" s="1139" t="s">
        <v>2634</v>
      </c>
      <c r="E634" s="1262"/>
      <c r="F634" s="1178"/>
    </row>
    <row r="635" spans="1:6" ht="23.25">
      <c r="B635" s="1139" t="s">
        <v>2635</v>
      </c>
      <c r="E635" s="1262"/>
      <c r="F635" s="1178"/>
    </row>
    <row r="636" spans="1:6" ht="23.25">
      <c r="B636" s="1139" t="s">
        <v>2636</v>
      </c>
      <c r="E636" s="1262"/>
      <c r="F636" s="1178"/>
    </row>
    <row r="637" spans="1:6" ht="23.25">
      <c r="B637" s="1139" t="s">
        <v>2637</v>
      </c>
      <c r="E637" s="1262"/>
      <c r="F637" s="1178"/>
    </row>
    <row r="638" spans="1:6" ht="57">
      <c r="B638" s="1139" t="s">
        <v>2638</v>
      </c>
      <c r="E638" s="1262"/>
      <c r="F638" s="1178"/>
    </row>
    <row r="639" spans="1:6" ht="45.75">
      <c r="B639" s="1139" t="s">
        <v>2639</v>
      </c>
      <c r="E639" s="1262"/>
      <c r="F639" s="1178"/>
    </row>
    <row r="640" spans="1:6" ht="23.25">
      <c r="B640" s="1139" t="s">
        <v>2640</v>
      </c>
      <c r="E640" s="1262"/>
      <c r="F640" s="1178"/>
    </row>
    <row r="641" spans="1:6" ht="23.25">
      <c r="B641" s="1139" t="s">
        <v>2641</v>
      </c>
      <c r="E641" s="1262"/>
      <c r="F641" s="1178"/>
    </row>
    <row r="642" spans="1:6">
      <c r="B642" s="1139" t="s">
        <v>2642</v>
      </c>
      <c r="E642" s="1262"/>
      <c r="F642" s="1178"/>
    </row>
    <row r="643" spans="1:6">
      <c r="B643" s="1139" t="s">
        <v>2643</v>
      </c>
      <c r="E643" s="1262"/>
      <c r="F643" s="1178"/>
    </row>
    <row r="644" spans="1:6">
      <c r="B644" s="1139" t="s">
        <v>2644</v>
      </c>
      <c r="E644" s="1262"/>
      <c r="F644" s="1178"/>
    </row>
    <row r="645" spans="1:6">
      <c r="B645" s="1139" t="s">
        <v>2645</v>
      </c>
      <c r="E645" s="1262"/>
      <c r="F645" s="1178"/>
    </row>
    <row r="646" spans="1:6">
      <c r="B646" s="1139" t="s">
        <v>2646</v>
      </c>
      <c r="E646" s="1262"/>
      <c r="F646" s="1178"/>
    </row>
    <row r="647" spans="1:6">
      <c r="B647" s="1139" t="s">
        <v>2647</v>
      </c>
      <c r="E647" s="1262"/>
      <c r="F647" s="1178"/>
    </row>
    <row r="648" spans="1:6">
      <c r="B648" s="1139" t="s">
        <v>2648</v>
      </c>
      <c r="E648" s="1262"/>
      <c r="F648" s="1178"/>
    </row>
    <row r="649" spans="1:6" ht="23.25">
      <c r="B649" s="1139" t="s">
        <v>2649</v>
      </c>
      <c r="E649" s="1262"/>
      <c r="F649" s="1178"/>
    </row>
    <row r="650" spans="1:6" ht="23.25">
      <c r="B650" s="1139" t="s">
        <v>2650</v>
      </c>
      <c r="E650" s="1262"/>
      <c r="F650" s="1178"/>
    </row>
    <row r="651" spans="1:6">
      <c r="B651" s="1139" t="s">
        <v>2651</v>
      </c>
      <c r="E651" s="1262"/>
      <c r="F651" s="1178"/>
    </row>
    <row r="652" spans="1:6" s="1160" customFormat="1" ht="11.25">
      <c r="A652" s="1130"/>
      <c r="B652" s="1175"/>
      <c r="C652" s="1172"/>
      <c r="D652" s="1159"/>
      <c r="E652" s="1266"/>
      <c r="F652" s="1135"/>
    </row>
    <row r="653" spans="1:6" s="1160" customFormat="1" ht="11.25">
      <c r="A653" s="1127">
        <f>A336+0.1</f>
        <v>1.8</v>
      </c>
      <c r="B653" s="1128" t="s">
        <v>2652</v>
      </c>
      <c r="C653" s="1185"/>
      <c r="D653" s="1186"/>
      <c r="E653" s="1270"/>
      <c r="F653" s="1187"/>
    </row>
    <row r="654" spans="1:6" s="1160" customFormat="1" ht="146.25">
      <c r="A654" s="1130">
        <f>A653+0.001</f>
        <v>1.8009999999999999</v>
      </c>
      <c r="B654" s="1191" t="s">
        <v>2653</v>
      </c>
      <c r="C654" s="1194" t="s">
        <v>2243</v>
      </c>
      <c r="D654" s="1195">
        <v>13</v>
      </c>
      <c r="E654" s="1271"/>
      <c r="F654" s="1135">
        <f t="shared" ref="F654" si="22">E654*D654</f>
        <v>0</v>
      </c>
    </row>
    <row r="655" spans="1:6" s="1160" customFormat="1" ht="11.25">
      <c r="A655" s="1193"/>
      <c r="B655" s="1191" t="s">
        <v>2654</v>
      </c>
      <c r="C655" s="1196"/>
      <c r="D655" s="1197"/>
      <c r="E655" s="1271"/>
      <c r="F655" s="1135"/>
    </row>
    <row r="656" spans="1:6" s="1160" customFormat="1" ht="11.25">
      <c r="A656" s="1193"/>
      <c r="B656" s="1191" t="s">
        <v>2655</v>
      </c>
      <c r="C656" s="1196"/>
      <c r="D656" s="1197"/>
      <c r="E656" s="1271"/>
      <c r="F656" s="1135"/>
    </row>
    <row r="657" spans="1:6" s="1160" customFormat="1" ht="11.25">
      <c r="A657" s="1193"/>
      <c r="B657" s="1191" t="s">
        <v>2656</v>
      </c>
      <c r="C657" s="1196"/>
      <c r="D657" s="1197"/>
      <c r="E657" s="1271"/>
      <c r="F657" s="1135"/>
    </row>
    <row r="658" spans="1:6" s="1160" customFormat="1" ht="11.25">
      <c r="A658" s="1193"/>
      <c r="B658" s="1191" t="s">
        <v>2657</v>
      </c>
      <c r="C658" s="1196"/>
      <c r="D658" s="1197"/>
      <c r="E658" s="1271"/>
      <c r="F658" s="1135"/>
    </row>
    <row r="659" spans="1:6" s="1160" customFormat="1" ht="22.5">
      <c r="A659" s="1193"/>
      <c r="B659" s="1191" t="s">
        <v>2658</v>
      </c>
      <c r="C659" s="1196"/>
      <c r="D659" s="1197"/>
      <c r="E659" s="1271"/>
      <c r="F659" s="1135"/>
    </row>
    <row r="660" spans="1:6" s="1160" customFormat="1" ht="11.25">
      <c r="A660" s="1193"/>
      <c r="B660" s="1191" t="s">
        <v>2659</v>
      </c>
      <c r="C660" s="1196"/>
      <c r="D660" s="1197"/>
      <c r="E660" s="1271"/>
      <c r="F660" s="1135"/>
    </row>
    <row r="661" spans="1:6" s="1160" customFormat="1" ht="11.25">
      <c r="A661" s="1193"/>
      <c r="B661" s="1198"/>
      <c r="C661" s="1196"/>
      <c r="D661" s="1197"/>
      <c r="E661" s="1271"/>
      <c r="F661" s="1135"/>
    </row>
    <row r="662" spans="1:6" s="1169" customFormat="1" ht="123.75">
      <c r="A662" s="1130">
        <f>A654+0.001</f>
        <v>1.802</v>
      </c>
      <c r="B662" s="1199" t="s">
        <v>2660</v>
      </c>
      <c r="C662" s="1172" t="s">
        <v>2243</v>
      </c>
      <c r="D662" s="1159">
        <v>3</v>
      </c>
      <c r="E662" s="1271"/>
      <c r="F662" s="1135">
        <f>E662*D662</f>
        <v>0</v>
      </c>
    </row>
    <row r="663" spans="1:6" s="1169" customFormat="1" ht="11.25">
      <c r="A663" s="1130"/>
      <c r="B663" s="1200" t="s">
        <v>2661</v>
      </c>
      <c r="C663" s="1172"/>
      <c r="D663" s="1159"/>
      <c r="E663" s="1271"/>
      <c r="F663" s="1135"/>
    </row>
    <row r="664" spans="1:6" s="1169" customFormat="1" ht="11.25">
      <c r="A664" s="1130"/>
      <c r="B664" s="1200" t="s">
        <v>2662</v>
      </c>
      <c r="C664" s="1172"/>
      <c r="D664" s="1159"/>
      <c r="E664" s="1271"/>
      <c r="F664" s="1135"/>
    </row>
    <row r="665" spans="1:6" s="1169" customFormat="1" ht="11.25">
      <c r="A665" s="1130"/>
      <c r="B665" s="1200" t="s">
        <v>2663</v>
      </c>
      <c r="C665" s="1172"/>
      <c r="D665" s="1159"/>
      <c r="E665" s="1271"/>
      <c r="F665" s="1135"/>
    </row>
    <row r="666" spans="1:6" s="1169" customFormat="1" ht="11.25">
      <c r="A666" s="1130"/>
      <c r="B666" s="1200" t="s">
        <v>2664</v>
      </c>
      <c r="C666" s="1172"/>
      <c r="D666" s="1159"/>
      <c r="E666" s="1271"/>
      <c r="F666" s="1135"/>
    </row>
    <row r="667" spans="1:6" s="1169" customFormat="1" ht="11.25">
      <c r="A667" s="1130"/>
      <c r="B667" s="1200" t="s">
        <v>2665</v>
      </c>
      <c r="C667" s="1172"/>
      <c r="D667" s="1159"/>
      <c r="E667" s="1271"/>
      <c r="F667" s="1135"/>
    </row>
    <row r="668" spans="1:6" s="1169" customFormat="1" ht="11.25">
      <c r="A668" s="1130"/>
      <c r="B668" s="1200" t="s">
        <v>2666</v>
      </c>
      <c r="C668" s="1172"/>
      <c r="D668" s="1159"/>
      <c r="E668" s="1271"/>
      <c r="F668" s="1135"/>
    </row>
    <row r="669" spans="1:6" s="1169" customFormat="1" ht="11.25">
      <c r="A669" s="1130"/>
      <c r="B669" s="1200" t="s">
        <v>2667</v>
      </c>
      <c r="C669" s="1172"/>
      <c r="D669" s="1159"/>
      <c r="E669" s="1271"/>
      <c r="F669" s="1135"/>
    </row>
    <row r="670" spans="1:6">
      <c r="A670" s="56"/>
      <c r="B670" s="1200" t="s">
        <v>2668</v>
      </c>
      <c r="C670" s="56"/>
      <c r="D670" s="56"/>
      <c r="E670" s="1272"/>
      <c r="F670" s="1201"/>
    </row>
    <row r="671" spans="1:6">
      <c r="A671" s="56"/>
      <c r="B671" s="1200" t="s">
        <v>2669</v>
      </c>
      <c r="C671" s="56"/>
      <c r="D671" s="56"/>
      <c r="E671" s="1272"/>
      <c r="F671" s="1201"/>
    </row>
    <row r="672" spans="1:6">
      <c r="A672" s="56"/>
      <c r="B672" s="1200" t="s">
        <v>2670</v>
      </c>
      <c r="C672" s="56"/>
      <c r="D672" s="56"/>
      <c r="E672" s="1272"/>
      <c r="F672" s="1201"/>
    </row>
    <row r="673" spans="1:6" s="1160" customFormat="1" ht="11.25">
      <c r="A673" s="1193"/>
      <c r="B673" s="1198"/>
      <c r="C673" s="1196"/>
      <c r="D673" s="1197"/>
      <c r="E673" s="1271"/>
      <c r="F673" s="1135"/>
    </row>
    <row r="674" spans="1:6" s="1169" customFormat="1" ht="67.5">
      <c r="A674" s="1130">
        <f>A662+0.001</f>
        <v>1.8029999999999999</v>
      </c>
      <c r="B674" s="1202" t="s">
        <v>2671</v>
      </c>
      <c r="C674" s="1203"/>
      <c r="D674" s="1204"/>
      <c r="E674" s="1271"/>
      <c r="F674" s="1135"/>
    </row>
    <row r="675" spans="1:6" s="1169" customFormat="1" ht="11.25">
      <c r="A675" s="1155"/>
      <c r="B675" s="1202" t="s">
        <v>2672</v>
      </c>
      <c r="C675" s="1203" t="s">
        <v>1160</v>
      </c>
      <c r="D675" s="1204">
        <v>45</v>
      </c>
      <c r="E675" s="1271"/>
      <c r="F675" s="1135">
        <f t="shared" ref="F675:F678" si="23">E675*D675</f>
        <v>0</v>
      </c>
    </row>
    <row r="676" spans="1:6" s="1169" customFormat="1" ht="11.25">
      <c r="A676" s="1155"/>
      <c r="B676" s="1202" t="s">
        <v>2673</v>
      </c>
      <c r="C676" s="1203" t="s">
        <v>1160</v>
      </c>
      <c r="D676" s="1204">
        <v>72</v>
      </c>
      <c r="E676" s="1271"/>
      <c r="F676" s="1135">
        <f t="shared" si="23"/>
        <v>0</v>
      </c>
    </row>
    <row r="677" spans="1:6" s="1169" customFormat="1" ht="11.25">
      <c r="A677" s="1155"/>
      <c r="B677" s="1202" t="s">
        <v>2674</v>
      </c>
      <c r="C677" s="1203" t="s">
        <v>1160</v>
      </c>
      <c r="D677" s="1204">
        <v>98</v>
      </c>
      <c r="E677" s="1271"/>
      <c r="F677" s="1135">
        <f t="shared" si="23"/>
        <v>0</v>
      </c>
    </row>
    <row r="678" spans="1:6" s="1169" customFormat="1" ht="11.25">
      <c r="A678" s="1155"/>
      <c r="B678" s="1202" t="s">
        <v>2675</v>
      </c>
      <c r="C678" s="1203" t="s">
        <v>1160</v>
      </c>
      <c r="D678" s="1204">
        <v>2</v>
      </c>
      <c r="E678" s="1271"/>
      <c r="F678" s="1135">
        <f t="shared" si="23"/>
        <v>0</v>
      </c>
    </row>
    <row r="679" spans="1:6" s="1169" customFormat="1" ht="11.25">
      <c r="A679" s="1155"/>
      <c r="B679" s="1202"/>
      <c r="C679" s="1203"/>
      <c r="D679" s="1204"/>
      <c r="E679" s="1271"/>
      <c r="F679" s="1135"/>
    </row>
    <row r="680" spans="1:6">
      <c r="A680" s="1130">
        <f>A674+0.001</f>
        <v>1.804</v>
      </c>
      <c r="B680" s="1190" t="s">
        <v>2676</v>
      </c>
      <c r="C680" s="1172"/>
      <c r="D680" s="1140"/>
      <c r="E680" s="1273"/>
      <c r="F680" s="1178"/>
    </row>
    <row r="681" spans="1:6" ht="113.25">
      <c r="B681" s="1205" t="s">
        <v>2677</v>
      </c>
      <c r="C681" s="1188"/>
      <c r="D681" s="1140"/>
      <c r="E681" s="1268"/>
      <c r="F681" s="1178"/>
    </row>
    <row r="682" spans="1:6">
      <c r="B682" s="1190" t="s">
        <v>2678</v>
      </c>
      <c r="C682" s="1188"/>
      <c r="D682" s="1140"/>
      <c r="E682" s="1268"/>
      <c r="F682" s="1178"/>
    </row>
    <row r="683" spans="1:6">
      <c r="B683" s="1190" t="s">
        <v>2679</v>
      </c>
      <c r="C683" s="1188" t="s">
        <v>27</v>
      </c>
      <c r="D683" s="1159">
        <v>42</v>
      </c>
      <c r="E683" s="1266"/>
      <c r="F683" s="1135">
        <f>E683*D683</f>
        <v>0</v>
      </c>
    </row>
    <row r="684" spans="1:6">
      <c r="B684" s="1190"/>
      <c r="C684" s="1188"/>
      <c r="D684" s="1159"/>
      <c r="E684" s="1266"/>
      <c r="F684" s="1135"/>
    </row>
    <row r="685" spans="1:6" ht="33.75">
      <c r="A685" s="1130">
        <f>A680+0.001</f>
        <v>1.8049999999999999</v>
      </c>
      <c r="B685" s="1190" t="s">
        <v>2680</v>
      </c>
      <c r="D685" s="1140"/>
      <c r="E685" s="1273"/>
      <c r="F685" s="1178"/>
    </row>
    <row r="686" spans="1:6">
      <c r="B686" s="1190" t="s">
        <v>2679</v>
      </c>
      <c r="C686" s="1188" t="s">
        <v>27</v>
      </c>
      <c r="D686" s="1159">
        <v>42</v>
      </c>
      <c r="E686" s="1266"/>
      <c r="F686" s="1135">
        <f>E686*D686</f>
        <v>0</v>
      </c>
    </row>
    <row r="687" spans="1:6">
      <c r="B687" s="1190"/>
      <c r="C687" s="1188"/>
      <c r="D687" s="1159"/>
      <c r="E687" s="1266"/>
      <c r="F687" s="1135"/>
    </row>
    <row r="688" spans="1:6" s="1160" customFormat="1" ht="33.75">
      <c r="A688" s="1130">
        <f>A685+0.001</f>
        <v>1.806</v>
      </c>
      <c r="B688" s="1206" t="s">
        <v>2681</v>
      </c>
      <c r="C688" s="1207"/>
      <c r="D688" s="1208"/>
      <c r="E688" s="1274"/>
      <c r="F688" s="1209"/>
    </row>
    <row r="689" spans="1:6" s="1160" customFormat="1" ht="11.25">
      <c r="A689" s="1210"/>
      <c r="B689" s="1206" t="s">
        <v>2682</v>
      </c>
      <c r="C689" s="1211" t="s">
        <v>34</v>
      </c>
      <c r="D689" s="1212">
        <v>10</v>
      </c>
      <c r="E689" s="1275"/>
      <c r="F689" s="1209">
        <f>E689*D689</f>
        <v>0</v>
      </c>
    </row>
    <row r="690" spans="1:6" s="1160" customFormat="1" ht="11.25">
      <c r="A690" s="1210"/>
      <c r="B690" s="1206"/>
      <c r="C690" s="1211"/>
      <c r="D690" s="1212"/>
      <c r="E690" s="1275"/>
      <c r="F690" s="1209"/>
    </row>
    <row r="691" spans="1:6" s="1160" customFormat="1" ht="33.75">
      <c r="A691" s="1130">
        <f>A688+0.001</f>
        <v>1.8069999999999999</v>
      </c>
      <c r="B691" s="1206" t="s">
        <v>2683</v>
      </c>
      <c r="C691" s="1207"/>
      <c r="D691" s="1208"/>
      <c r="E691" s="1274"/>
      <c r="F691" s="1209"/>
    </row>
    <row r="692" spans="1:6" s="1160" customFormat="1" ht="11.25">
      <c r="A692" s="1130"/>
      <c r="B692" s="1206" t="s">
        <v>2684</v>
      </c>
      <c r="C692" s="1211" t="s">
        <v>34</v>
      </c>
      <c r="D692" s="1212">
        <v>4</v>
      </c>
      <c r="E692" s="1275"/>
      <c r="F692" s="1209">
        <f>E692*D692</f>
        <v>0</v>
      </c>
    </row>
    <row r="693" spans="1:6" s="1169" customFormat="1" ht="11.25">
      <c r="A693" s="1155"/>
      <c r="B693" s="1202"/>
      <c r="C693" s="1203"/>
      <c r="D693" s="1204"/>
      <c r="E693" s="1271"/>
      <c r="F693" s="1135"/>
    </row>
    <row r="694" spans="1:6" s="1160" customFormat="1" ht="45">
      <c r="A694" s="1130">
        <f>A691+0.001</f>
        <v>1.8080000000000001</v>
      </c>
      <c r="B694" s="1213" t="s">
        <v>2685</v>
      </c>
      <c r="C694" s="1203"/>
      <c r="D694" s="1204"/>
      <c r="E694" s="1271"/>
      <c r="F694" s="1135"/>
    </row>
    <row r="695" spans="1:6" s="1160" customFormat="1" ht="11.25">
      <c r="A695" s="1214"/>
      <c r="B695" s="1213" t="s">
        <v>2686</v>
      </c>
      <c r="C695" s="1203" t="s">
        <v>34</v>
      </c>
      <c r="D695" s="1204">
        <v>2</v>
      </c>
      <c r="E695" s="1271"/>
      <c r="F695" s="1135">
        <f t="shared" ref="F695:F696" si="24">E695*D695</f>
        <v>0</v>
      </c>
    </row>
    <row r="696" spans="1:6" s="1160" customFormat="1" ht="11.25">
      <c r="A696" s="1214"/>
      <c r="B696" s="1213" t="s">
        <v>2687</v>
      </c>
      <c r="C696" s="1203" t="s">
        <v>34</v>
      </c>
      <c r="D696" s="1204">
        <v>3</v>
      </c>
      <c r="E696" s="1271"/>
      <c r="F696" s="1135">
        <f t="shared" si="24"/>
        <v>0</v>
      </c>
    </row>
    <row r="697" spans="1:6" s="1160" customFormat="1" ht="11.25">
      <c r="A697" s="1214"/>
      <c r="B697" s="1213"/>
      <c r="C697" s="1203"/>
      <c r="D697" s="1204"/>
      <c r="E697" s="1271"/>
      <c r="F697" s="1135"/>
    </row>
    <row r="698" spans="1:6" s="1160" customFormat="1" ht="33.75">
      <c r="A698" s="1130">
        <f>A691+0.001</f>
        <v>1.8080000000000001</v>
      </c>
      <c r="B698" s="1206" t="s">
        <v>2688</v>
      </c>
      <c r="C698" s="1207"/>
      <c r="D698" s="1208"/>
      <c r="E698" s="1276"/>
      <c r="F698" s="1215"/>
    </row>
    <row r="699" spans="1:6" s="1160" customFormat="1" ht="11.25">
      <c r="A699" s="1210"/>
      <c r="B699" s="1202" t="s">
        <v>2689</v>
      </c>
      <c r="C699" s="1211" t="s">
        <v>34</v>
      </c>
      <c r="D699" s="1212">
        <v>9</v>
      </c>
      <c r="E699" s="1277"/>
      <c r="F699" s="1215">
        <f>E699*D699</f>
        <v>0</v>
      </c>
    </row>
    <row r="700" spans="1:6" s="1160" customFormat="1" ht="11.25">
      <c r="A700" s="1210"/>
      <c r="B700" s="1206"/>
      <c r="C700" s="1211"/>
      <c r="D700" s="1212"/>
      <c r="E700" s="1277"/>
      <c r="F700" s="1215"/>
    </row>
    <row r="701" spans="1:6" s="1160" customFormat="1" ht="11.25">
      <c r="A701" s="1210"/>
      <c r="B701" s="1206"/>
      <c r="C701" s="1211"/>
      <c r="D701" s="1212"/>
      <c r="E701" s="1277"/>
      <c r="F701" s="1215"/>
    </row>
    <row r="702" spans="1:6" s="1169" customFormat="1" ht="22.5">
      <c r="A702" s="1130">
        <f>A698+0.001</f>
        <v>1.8089999999999999</v>
      </c>
      <c r="B702" s="1216" t="s">
        <v>2690</v>
      </c>
      <c r="C702" s="1203"/>
      <c r="D702" s="1204"/>
      <c r="E702" s="1271"/>
      <c r="F702" s="1135"/>
    </row>
    <row r="703" spans="1:6" s="1169" customFormat="1" ht="11.25">
      <c r="A703" s="1155"/>
      <c r="B703" s="1202" t="s">
        <v>2691</v>
      </c>
      <c r="C703" s="1203" t="s">
        <v>34</v>
      </c>
      <c r="D703" s="1204">
        <v>3</v>
      </c>
      <c r="E703" s="1277"/>
      <c r="F703" s="1215">
        <f>E703*D703</f>
        <v>0</v>
      </c>
    </row>
    <row r="704" spans="1:6" s="1169" customFormat="1" ht="11.25">
      <c r="A704" s="1155"/>
      <c r="B704" s="1202" t="s">
        <v>2692</v>
      </c>
      <c r="C704" s="1203" t="s">
        <v>34</v>
      </c>
      <c r="D704" s="1204">
        <v>1</v>
      </c>
      <c r="E704" s="1277"/>
      <c r="F704" s="1215">
        <f>E704*D704</f>
        <v>0</v>
      </c>
    </row>
    <row r="705" spans="1:10" s="1169" customFormat="1" ht="11.25">
      <c r="A705" s="1155"/>
      <c r="B705" s="1202"/>
      <c r="C705" s="1203"/>
      <c r="D705" s="1204"/>
      <c r="E705" s="1277"/>
      <c r="F705" s="1215"/>
    </row>
    <row r="706" spans="1:10" ht="22.5">
      <c r="A706" s="1130">
        <f>A702+0.001</f>
        <v>1.81</v>
      </c>
      <c r="B706" s="1190" t="s">
        <v>2693</v>
      </c>
      <c r="D706" s="1140"/>
      <c r="E706" s="1273"/>
      <c r="F706" s="1178"/>
    </row>
    <row r="707" spans="1:10">
      <c r="B707" s="1202" t="s">
        <v>2694</v>
      </c>
      <c r="C707" s="1172" t="s">
        <v>2243</v>
      </c>
      <c r="D707" s="1159">
        <v>1</v>
      </c>
      <c r="E707" s="1266"/>
      <c r="F707" s="1135">
        <f>E707*D707</f>
        <v>0</v>
      </c>
    </row>
    <row r="708" spans="1:10" s="1169" customFormat="1" ht="11.25">
      <c r="A708" s="1155"/>
      <c r="B708" s="1202"/>
      <c r="C708" s="1203"/>
      <c r="D708" s="1204"/>
      <c r="E708" s="1277"/>
      <c r="F708" s="1215"/>
    </row>
    <row r="709" spans="1:10" ht="22.5">
      <c r="A709" s="1130">
        <f>A706+0.001</f>
        <v>1.8109999999999999</v>
      </c>
      <c r="B709" s="1190" t="s">
        <v>2695</v>
      </c>
      <c r="C709" s="1172"/>
      <c r="D709" s="1159"/>
      <c r="E709" s="1266"/>
      <c r="F709" s="1135"/>
    </row>
    <row r="710" spans="1:10" ht="33.75">
      <c r="B710" s="1190" t="s">
        <v>2696</v>
      </c>
      <c r="C710" s="1172" t="s">
        <v>2243</v>
      </c>
      <c r="D710" s="1159">
        <v>1</v>
      </c>
      <c r="E710" s="1266"/>
      <c r="F710" s="1135">
        <f>E710*D710</f>
        <v>0</v>
      </c>
    </row>
    <row r="711" spans="1:10" s="1160" customFormat="1" ht="45">
      <c r="A711" s="1130">
        <f>A709+0.001</f>
        <v>1.8120000000000001</v>
      </c>
      <c r="B711" s="1175" t="s">
        <v>2283</v>
      </c>
      <c r="C711" s="1217" t="s">
        <v>2632</v>
      </c>
      <c r="D711" s="1192">
        <v>1</v>
      </c>
      <c r="E711" s="1278"/>
      <c r="F711" s="1135">
        <f t="shared" ref="F711:F715" si="25">E711*D711</f>
        <v>0</v>
      </c>
    </row>
    <row r="712" spans="1:10" s="1160" customFormat="1" ht="11.25">
      <c r="A712" s="1155"/>
      <c r="B712" s="1175"/>
      <c r="C712" s="1217"/>
      <c r="D712" s="1192"/>
      <c r="E712" s="1278"/>
      <c r="F712" s="1161"/>
    </row>
    <row r="713" spans="1:10" s="1160" customFormat="1" ht="22.5">
      <c r="A713" s="1155">
        <f>A711+0.001</f>
        <v>1.8129999999999999</v>
      </c>
      <c r="B713" s="1175" t="s">
        <v>2284</v>
      </c>
      <c r="C713" s="1217" t="s">
        <v>2632</v>
      </c>
      <c r="D713" s="1192">
        <v>1</v>
      </c>
      <c r="E713" s="1278"/>
      <c r="F713" s="1135">
        <f t="shared" si="25"/>
        <v>0</v>
      </c>
    </row>
    <row r="714" spans="1:10" s="1160" customFormat="1" ht="11.25">
      <c r="A714" s="1155"/>
      <c r="B714" s="1175"/>
      <c r="C714" s="1217"/>
      <c r="D714" s="1192"/>
      <c r="E714" s="1278"/>
      <c r="F714" s="1161"/>
    </row>
    <row r="715" spans="1:10" s="1160" customFormat="1" ht="33.75">
      <c r="A715" s="1155">
        <f>A713+0.001</f>
        <v>1.8140000000000001</v>
      </c>
      <c r="B715" s="1175" t="s">
        <v>2285</v>
      </c>
      <c r="C715" s="1217" t="s">
        <v>2632</v>
      </c>
      <c r="D715" s="1192">
        <v>1</v>
      </c>
      <c r="E715" s="1278"/>
      <c r="F715" s="1135">
        <f t="shared" si="25"/>
        <v>0</v>
      </c>
    </row>
    <row r="716" spans="1:10" s="1160" customFormat="1" ht="11.25">
      <c r="A716" s="1155"/>
      <c r="B716" s="1175"/>
      <c r="C716" s="1217"/>
      <c r="D716" s="1192"/>
      <c r="E716" s="1278"/>
      <c r="F716" s="1135"/>
    </row>
    <row r="717" spans="1:10" s="1169" customFormat="1" ht="22.5">
      <c r="A717" s="1155">
        <f>A715+0.001</f>
        <v>1.8149999999999999</v>
      </c>
      <c r="B717" s="1175" t="s">
        <v>2429</v>
      </c>
      <c r="C717" s="1172" t="s">
        <v>2632</v>
      </c>
      <c r="D717" s="1192">
        <v>1</v>
      </c>
      <c r="E717" s="1277"/>
      <c r="F717" s="1215">
        <f>E717*D717</f>
        <v>0</v>
      </c>
      <c r="H717" s="1218"/>
      <c r="I717" s="1219"/>
      <c r="J717" s="1220"/>
    </row>
    <row r="718" spans="1:10" s="1169" customFormat="1" ht="11.25">
      <c r="A718" s="1155"/>
      <c r="B718" s="1175"/>
      <c r="C718" s="1172"/>
      <c r="D718" s="1192"/>
      <c r="E718" s="1277"/>
      <c r="F718" s="1215"/>
      <c r="H718" s="1218"/>
      <c r="I718" s="1219"/>
      <c r="J718" s="1220"/>
    </row>
    <row r="719" spans="1:10">
      <c r="A719" s="1155">
        <f>A717+0.001</f>
        <v>1.8160000000000001</v>
      </c>
      <c r="B719" s="1175" t="s">
        <v>2697</v>
      </c>
      <c r="C719" s="1221"/>
      <c r="D719" s="1222"/>
      <c r="E719" s="59"/>
      <c r="F719" s="1223"/>
    </row>
    <row r="720" spans="1:10" ht="124.5">
      <c r="A720" s="1224"/>
      <c r="B720" s="1225" t="s">
        <v>2698</v>
      </c>
      <c r="C720" s="1221"/>
      <c r="D720" s="1222"/>
      <c r="E720" s="59"/>
      <c r="F720" s="1223"/>
    </row>
    <row r="721" spans="1:6" ht="45.75">
      <c r="A721" s="1224"/>
      <c r="B721" s="1175" t="s">
        <v>2699</v>
      </c>
      <c r="C721" s="1172" t="s">
        <v>2700</v>
      </c>
      <c r="D721" s="1192">
        <v>12</v>
      </c>
      <c r="E721" s="1277"/>
      <c r="F721" s="1215">
        <f>E721*D721</f>
        <v>0</v>
      </c>
    </row>
    <row r="722" spans="1:6" s="1160" customFormat="1" ht="11.25">
      <c r="A722" s="1155"/>
      <c r="B722" s="1175"/>
      <c r="C722" s="1217"/>
      <c r="D722" s="1192"/>
      <c r="E722" s="1278"/>
      <c r="F722" s="1135"/>
    </row>
    <row r="723" spans="1:6">
      <c r="A723" s="1127">
        <f>A653+0.1</f>
        <v>1.9</v>
      </c>
      <c r="B723" s="1226" t="s">
        <v>2701</v>
      </c>
      <c r="C723" s="1185"/>
      <c r="D723" s="1186"/>
      <c r="E723" s="1270"/>
      <c r="F723" s="1187"/>
    </row>
    <row r="724" spans="1:6" s="1169" customFormat="1" ht="33.75">
      <c r="A724" s="1130">
        <f>A723+0.001</f>
        <v>1.901</v>
      </c>
      <c r="B724" s="1198" t="s">
        <v>2702</v>
      </c>
      <c r="C724" s="1172" t="s">
        <v>2243</v>
      </c>
      <c r="D724" s="1159">
        <v>1</v>
      </c>
      <c r="E724" s="1271"/>
      <c r="F724" s="1135">
        <f>E724*D724</f>
        <v>0</v>
      </c>
    </row>
    <row r="725" spans="1:6" s="1169" customFormat="1" ht="11.25">
      <c r="A725" s="1130"/>
      <c r="B725" s="1198" t="s">
        <v>2703</v>
      </c>
      <c r="C725" s="1172"/>
      <c r="D725" s="1159"/>
      <c r="E725" s="1271"/>
      <c r="F725" s="1135"/>
    </row>
    <row r="726" spans="1:6" s="1169" customFormat="1" ht="11.25">
      <c r="A726" s="1130"/>
      <c r="B726" s="1198" t="s">
        <v>2704</v>
      </c>
      <c r="C726" s="1172"/>
      <c r="D726" s="1159"/>
      <c r="E726" s="1271"/>
      <c r="F726" s="1135"/>
    </row>
    <row r="727" spans="1:6" s="1169" customFormat="1" ht="11.25">
      <c r="A727" s="1130"/>
      <c r="B727" s="1198" t="s">
        <v>2705</v>
      </c>
      <c r="C727" s="1172"/>
      <c r="D727" s="1159"/>
      <c r="E727" s="1271"/>
      <c r="F727" s="1135"/>
    </row>
    <row r="728" spans="1:6" s="1169" customFormat="1" ht="11.25">
      <c r="A728" s="1130"/>
      <c r="B728" s="1198" t="s">
        <v>2706</v>
      </c>
      <c r="C728" s="1172"/>
      <c r="D728" s="1159"/>
      <c r="E728" s="1271"/>
      <c r="F728" s="1135"/>
    </row>
    <row r="729" spans="1:6" s="1169" customFormat="1" ht="11.25">
      <c r="A729" s="1130"/>
      <c r="B729" s="1198" t="s">
        <v>2707</v>
      </c>
      <c r="C729" s="1172"/>
      <c r="D729" s="1159"/>
      <c r="E729" s="1271"/>
      <c r="F729" s="1135"/>
    </row>
    <row r="730" spans="1:6" s="1169" customFormat="1" ht="11.25">
      <c r="A730" s="1130"/>
      <c r="B730" s="1198" t="s">
        <v>2708</v>
      </c>
      <c r="C730" s="1172"/>
      <c r="D730" s="1159"/>
      <c r="E730" s="1271"/>
      <c r="F730" s="1135"/>
    </row>
    <row r="731" spans="1:6" s="1169" customFormat="1" ht="11.25">
      <c r="A731" s="1130"/>
      <c r="B731" s="1198" t="s">
        <v>2709</v>
      </c>
      <c r="C731" s="1172"/>
      <c r="D731" s="1159"/>
      <c r="E731" s="1271"/>
      <c r="F731" s="1135"/>
    </row>
    <row r="732" spans="1:6" s="1169" customFormat="1" ht="11.25">
      <c r="A732" s="1130"/>
      <c r="B732" s="1198" t="s">
        <v>2710</v>
      </c>
      <c r="C732" s="1172"/>
      <c r="D732" s="1159"/>
      <c r="E732" s="1271"/>
      <c r="F732" s="1135"/>
    </row>
    <row r="733" spans="1:6" s="1169" customFormat="1" ht="11.25">
      <c r="A733" s="1130"/>
      <c r="B733" s="1198" t="s">
        <v>2711</v>
      </c>
      <c r="C733" s="1172"/>
      <c r="D733" s="1159"/>
      <c r="E733" s="1271"/>
      <c r="F733" s="1135"/>
    </row>
    <row r="734" spans="1:6" s="1169" customFormat="1" ht="56.25">
      <c r="A734" s="1130"/>
      <c r="B734" s="1198" t="s">
        <v>2712</v>
      </c>
      <c r="C734" s="1172"/>
      <c r="D734" s="1159"/>
      <c r="E734" s="1271"/>
      <c r="F734" s="1135"/>
    </row>
    <row r="735" spans="1:6" s="1169" customFormat="1" ht="45">
      <c r="A735" s="1130"/>
      <c r="B735" s="1198" t="s">
        <v>2713</v>
      </c>
      <c r="C735" s="1172"/>
      <c r="D735" s="1159"/>
      <c r="E735" s="1271"/>
      <c r="F735" s="1135"/>
    </row>
    <row r="736" spans="1:6" s="1169" customFormat="1" ht="22.5">
      <c r="A736" s="1130"/>
      <c r="B736" s="1198" t="s">
        <v>2714</v>
      </c>
      <c r="C736" s="1172"/>
      <c r="D736" s="1159"/>
      <c r="E736" s="1271"/>
      <c r="F736" s="1135"/>
    </row>
    <row r="737" spans="1:6" s="1169" customFormat="1" ht="11.25">
      <c r="A737" s="1130"/>
      <c r="B737" s="1198" t="s">
        <v>2715</v>
      </c>
      <c r="C737" s="1172"/>
      <c r="D737" s="1159"/>
      <c r="E737" s="1271"/>
      <c r="F737" s="1135"/>
    </row>
    <row r="738" spans="1:6" s="1169" customFormat="1" ht="11.25">
      <c r="A738" s="1130"/>
      <c r="B738" s="1198" t="s">
        <v>2716</v>
      </c>
      <c r="C738" s="1172"/>
      <c r="D738" s="1159"/>
      <c r="E738" s="1271"/>
      <c r="F738" s="1135"/>
    </row>
    <row r="739" spans="1:6" s="1169" customFormat="1" ht="11.25">
      <c r="A739" s="1130"/>
      <c r="B739" s="1198" t="s">
        <v>2717</v>
      </c>
      <c r="C739" s="1172"/>
      <c r="D739" s="1159"/>
      <c r="E739" s="1271"/>
      <c r="F739" s="1135"/>
    </row>
    <row r="740" spans="1:6" s="1169" customFormat="1" ht="22.5">
      <c r="A740" s="1130"/>
      <c r="B740" s="1198" t="s">
        <v>2718</v>
      </c>
      <c r="C740" s="1172"/>
      <c r="D740" s="1159"/>
      <c r="E740" s="1271"/>
      <c r="F740" s="1135"/>
    </row>
    <row r="741" spans="1:6" s="1169" customFormat="1" ht="22.5">
      <c r="A741" s="1130"/>
      <c r="B741" s="1198" t="s">
        <v>2719</v>
      </c>
      <c r="C741" s="1172"/>
      <c r="D741" s="1159"/>
      <c r="E741" s="1271"/>
      <c r="F741" s="1135"/>
    </row>
    <row r="742" spans="1:6" s="1169" customFormat="1" ht="11.25">
      <c r="A742" s="1130"/>
      <c r="B742" s="1198" t="s">
        <v>2720</v>
      </c>
      <c r="C742" s="1172"/>
      <c r="D742" s="1159"/>
      <c r="E742" s="1271"/>
      <c r="F742" s="1135"/>
    </row>
    <row r="743" spans="1:6" s="1169" customFormat="1" ht="11.25">
      <c r="A743" s="1130"/>
      <c r="B743" s="1198" t="s">
        <v>2721</v>
      </c>
      <c r="C743" s="1172"/>
      <c r="D743" s="1159"/>
      <c r="E743" s="1271"/>
      <c r="F743" s="1135"/>
    </row>
    <row r="744" spans="1:6" s="1169" customFormat="1" ht="22.5">
      <c r="A744" s="1130"/>
      <c r="B744" s="1198" t="s">
        <v>2722</v>
      </c>
      <c r="C744" s="1172"/>
      <c r="D744" s="1159"/>
      <c r="E744" s="1271"/>
      <c r="F744" s="1135"/>
    </row>
    <row r="745" spans="1:6" s="1169" customFormat="1" ht="11.25">
      <c r="A745" s="1130"/>
      <c r="B745" s="1198" t="s">
        <v>2723</v>
      </c>
      <c r="C745" s="1172"/>
      <c r="D745" s="1159"/>
      <c r="E745" s="1271"/>
      <c r="F745" s="1135"/>
    </row>
    <row r="746" spans="1:6" s="1169" customFormat="1" ht="11.25">
      <c r="A746" s="1130"/>
      <c r="B746" s="1198" t="s">
        <v>2724</v>
      </c>
      <c r="C746" s="1172"/>
      <c r="D746" s="1159"/>
      <c r="E746" s="1271"/>
      <c r="F746" s="1135"/>
    </row>
    <row r="747" spans="1:6" s="1169" customFormat="1" ht="11.25">
      <c r="A747" s="1130"/>
      <c r="B747" s="1198" t="s">
        <v>2725</v>
      </c>
      <c r="C747" s="1172"/>
      <c r="D747" s="1159"/>
      <c r="E747" s="1271"/>
      <c r="F747" s="1135"/>
    </row>
    <row r="748" spans="1:6" s="1169" customFormat="1" ht="11.25">
      <c r="A748" s="1130"/>
      <c r="B748" s="1198" t="s">
        <v>2726</v>
      </c>
      <c r="C748" s="1172"/>
      <c r="D748" s="1159"/>
      <c r="E748" s="1271"/>
      <c r="F748" s="1135"/>
    </row>
    <row r="749" spans="1:6" s="1169" customFormat="1" ht="11.25">
      <c r="A749" s="1130"/>
      <c r="B749" s="1198" t="s">
        <v>2727</v>
      </c>
      <c r="C749" s="1172"/>
      <c r="D749" s="1159"/>
      <c r="E749" s="1271"/>
      <c r="F749" s="1135"/>
    </row>
    <row r="750" spans="1:6" s="1169" customFormat="1" ht="22.5">
      <c r="A750" s="1130"/>
      <c r="B750" s="1227" t="s">
        <v>2728</v>
      </c>
      <c r="C750" s="1172"/>
      <c r="D750" s="1159"/>
      <c r="E750" s="1271"/>
      <c r="F750" s="1135"/>
    </row>
    <row r="751" spans="1:6" s="1169" customFormat="1" ht="90">
      <c r="A751" s="1130"/>
      <c r="B751" s="1227" t="s">
        <v>2729</v>
      </c>
      <c r="C751" s="1172"/>
      <c r="D751" s="1159"/>
      <c r="E751" s="1271"/>
      <c r="F751" s="1135"/>
    </row>
    <row r="752" spans="1:6" s="1169" customFormat="1" ht="33.75">
      <c r="A752" s="1130"/>
      <c r="B752" s="1198" t="s">
        <v>2730</v>
      </c>
      <c r="C752" s="1172"/>
      <c r="D752" s="1159"/>
      <c r="E752" s="1271"/>
      <c r="F752" s="1135"/>
    </row>
    <row r="753" spans="1:6" s="1169" customFormat="1" ht="11.25">
      <c r="A753" s="1130"/>
      <c r="B753" s="1227" t="s">
        <v>2731</v>
      </c>
      <c r="C753" s="1172"/>
      <c r="D753" s="1159"/>
      <c r="E753" s="1271"/>
      <c r="F753" s="1135"/>
    </row>
    <row r="754" spans="1:6" s="1169" customFormat="1" ht="157.5">
      <c r="A754" s="1130"/>
      <c r="B754" s="1227" t="s">
        <v>2732</v>
      </c>
      <c r="C754" s="1172"/>
      <c r="D754" s="1159"/>
      <c r="E754" s="1271"/>
      <c r="F754" s="1135"/>
    </row>
    <row r="755" spans="1:6" s="1169" customFormat="1" ht="67.5">
      <c r="A755" s="1130"/>
      <c r="B755" s="1227" t="s">
        <v>2733</v>
      </c>
      <c r="C755" s="1172"/>
      <c r="D755" s="1159"/>
      <c r="E755" s="1271"/>
      <c r="F755" s="1135"/>
    </row>
    <row r="756" spans="1:6" s="1169" customFormat="1" ht="56.25">
      <c r="A756" s="1130"/>
      <c r="B756" s="1227" t="s">
        <v>2734</v>
      </c>
      <c r="C756" s="1172"/>
      <c r="D756" s="1159"/>
      <c r="E756" s="1271"/>
      <c r="F756" s="1135"/>
    </row>
    <row r="757" spans="1:6" s="1169" customFormat="1" ht="67.5">
      <c r="A757" s="1130"/>
      <c r="B757" s="1227" t="s">
        <v>2735</v>
      </c>
      <c r="C757" s="1172"/>
      <c r="D757" s="1159"/>
      <c r="E757" s="1271"/>
      <c r="F757" s="1135"/>
    </row>
    <row r="758" spans="1:6" s="1169" customFormat="1" ht="180">
      <c r="A758" s="1130"/>
      <c r="B758" s="1227" t="s">
        <v>2736</v>
      </c>
      <c r="C758" s="1172"/>
      <c r="D758" s="1159"/>
      <c r="E758" s="1271"/>
      <c r="F758" s="1135"/>
    </row>
    <row r="759" spans="1:6" s="1169" customFormat="1" ht="11.25">
      <c r="A759" s="1130"/>
      <c r="B759" s="1227"/>
      <c r="C759" s="1172"/>
      <c r="D759" s="1159"/>
      <c r="E759" s="1271"/>
      <c r="F759" s="1135"/>
    </row>
    <row r="760" spans="1:6" s="1169" customFormat="1" ht="67.5">
      <c r="A760" s="1130"/>
      <c r="B760" s="1227" t="s">
        <v>2737</v>
      </c>
      <c r="C760" s="1172"/>
      <c r="D760" s="1159"/>
      <c r="E760" s="1271"/>
      <c r="F760" s="1135"/>
    </row>
    <row r="761" spans="1:6">
      <c r="A761" s="56"/>
      <c r="B761" s="1200" t="s">
        <v>2669</v>
      </c>
      <c r="C761" s="56"/>
      <c r="D761" s="56"/>
      <c r="E761" s="1272"/>
      <c r="F761" s="1201"/>
    </row>
    <row r="762" spans="1:6">
      <c r="A762" s="56"/>
      <c r="B762" s="1200" t="s">
        <v>2738</v>
      </c>
      <c r="C762" s="56"/>
      <c r="D762" s="56"/>
      <c r="E762" s="1272"/>
      <c r="F762" s="1201"/>
    </row>
    <row r="763" spans="1:6">
      <c r="A763" s="56"/>
      <c r="B763" s="1200"/>
      <c r="C763" s="56"/>
      <c r="D763" s="56"/>
      <c r="E763" s="1272"/>
      <c r="F763" s="1201"/>
    </row>
    <row r="764" spans="1:6">
      <c r="A764" s="1130">
        <f>A724+0.001</f>
        <v>1.9019999999999999</v>
      </c>
      <c r="B764" s="1190" t="s">
        <v>2676</v>
      </c>
      <c r="C764" s="1172"/>
      <c r="D764" s="1140"/>
      <c r="E764" s="1273"/>
      <c r="F764" s="1178"/>
    </row>
    <row r="765" spans="1:6" ht="113.25">
      <c r="B765" s="1205" t="s">
        <v>2677</v>
      </c>
      <c r="C765" s="1188"/>
      <c r="D765" s="1140"/>
      <c r="E765" s="1268"/>
      <c r="F765" s="1178"/>
    </row>
    <row r="766" spans="1:6">
      <c r="B766" s="1190" t="s">
        <v>2739</v>
      </c>
      <c r="C766" s="1188" t="s">
        <v>27</v>
      </c>
      <c r="D766" s="1159">
        <v>25</v>
      </c>
      <c r="E766" s="1266"/>
      <c r="F766" s="1135">
        <f>E766*D766</f>
        <v>0</v>
      </c>
    </row>
    <row r="767" spans="1:6">
      <c r="B767" s="1190"/>
      <c r="C767" s="1188"/>
      <c r="D767" s="1159"/>
      <c r="E767" s="1266"/>
      <c r="F767" s="1135"/>
    </row>
    <row r="768" spans="1:6" ht="33.75">
      <c r="A768" s="1130">
        <f>A764+0.001</f>
        <v>1.903</v>
      </c>
      <c r="B768" s="1190" t="s">
        <v>2680</v>
      </c>
      <c r="C768" s="1188" t="s">
        <v>27</v>
      </c>
      <c r="D768" s="1159">
        <v>25</v>
      </c>
      <c r="E768" s="1266"/>
      <c r="F768" s="1135">
        <f>E768*D768</f>
        <v>0</v>
      </c>
    </row>
    <row r="769" spans="1:6">
      <c r="A769" s="56"/>
      <c r="B769" s="1200"/>
      <c r="C769" s="56"/>
      <c r="D769" s="56"/>
      <c r="E769" s="1272"/>
      <c r="F769" s="1201"/>
    </row>
    <row r="770" spans="1:6" s="1160" customFormat="1" ht="45">
      <c r="A770" s="1130">
        <f>A768+0.001</f>
        <v>1.9039999999999999</v>
      </c>
      <c r="B770" s="1213" t="s">
        <v>2685</v>
      </c>
      <c r="C770" s="1203"/>
      <c r="D770" s="1204"/>
      <c r="E770" s="1271"/>
      <c r="F770" s="1135"/>
    </row>
    <row r="771" spans="1:6" s="1160" customFormat="1" ht="11.25">
      <c r="A771" s="1214"/>
      <c r="B771" s="1213" t="s">
        <v>2740</v>
      </c>
      <c r="C771" s="1203" t="s">
        <v>34</v>
      </c>
      <c r="D771" s="1204">
        <v>2</v>
      </c>
      <c r="E771" s="1271"/>
      <c r="F771" s="1135">
        <f t="shared" ref="F771:F772" si="26">E771*D771</f>
        <v>0</v>
      </c>
    </row>
    <row r="772" spans="1:6" s="1160" customFormat="1" ht="11.25">
      <c r="A772" s="1214"/>
      <c r="B772" s="1213" t="s">
        <v>2741</v>
      </c>
      <c r="C772" s="1203" t="s">
        <v>34</v>
      </c>
      <c r="D772" s="1204">
        <v>1</v>
      </c>
      <c r="E772" s="1271"/>
      <c r="F772" s="1135">
        <f t="shared" si="26"/>
        <v>0</v>
      </c>
    </row>
    <row r="773" spans="1:6" s="1160" customFormat="1" ht="11.25">
      <c r="A773" s="1210"/>
      <c r="B773" s="1206"/>
      <c r="C773" s="1211"/>
      <c r="D773" s="1212"/>
      <c r="E773" s="1277"/>
      <c r="F773" s="1215"/>
    </row>
    <row r="774" spans="1:6" ht="22.5">
      <c r="A774" s="1130">
        <f>A770+0.001</f>
        <v>1.905</v>
      </c>
      <c r="B774" s="1190" t="s">
        <v>2693</v>
      </c>
      <c r="D774" s="1140"/>
      <c r="E774" s="1273"/>
      <c r="F774" s="1178"/>
    </row>
    <row r="775" spans="1:6">
      <c r="B775" s="1202" t="s">
        <v>2742</v>
      </c>
      <c r="C775" s="1172" t="s">
        <v>2243</v>
      </c>
      <c r="D775" s="1159">
        <v>1</v>
      </c>
      <c r="E775" s="1266"/>
      <c r="F775" s="1135">
        <f>E775*D775</f>
        <v>0</v>
      </c>
    </row>
    <row r="776" spans="1:6" s="1169" customFormat="1" ht="11.25">
      <c r="A776" s="1155"/>
      <c r="B776" s="1202"/>
      <c r="C776" s="1203"/>
      <c r="D776" s="1204"/>
      <c r="E776" s="1277"/>
      <c r="F776" s="1215"/>
    </row>
    <row r="777" spans="1:6" ht="22.5">
      <c r="A777" s="1130">
        <f>A774+0.001</f>
        <v>1.9059999999999999</v>
      </c>
      <c r="B777" s="1190" t="s">
        <v>2695</v>
      </c>
      <c r="C777" s="1172"/>
      <c r="D777" s="1159"/>
      <c r="E777" s="1266"/>
      <c r="F777" s="1135"/>
    </row>
    <row r="778" spans="1:6" ht="33.75">
      <c r="B778" s="1190" t="s">
        <v>2696</v>
      </c>
      <c r="C778" s="1172" t="s">
        <v>2243</v>
      </c>
      <c r="D778" s="1159">
        <v>1</v>
      </c>
      <c r="E778" s="1266"/>
      <c r="F778" s="1135">
        <f>E778*D778</f>
        <v>0</v>
      </c>
    </row>
    <row r="779" spans="1:6" s="1160" customFormat="1" ht="45">
      <c r="A779" s="1130">
        <f>A777+0.001</f>
        <v>1.907</v>
      </c>
      <c r="B779" s="1175" t="s">
        <v>2283</v>
      </c>
      <c r="C779" s="1217" t="s">
        <v>2632</v>
      </c>
      <c r="D779" s="1192">
        <v>1</v>
      </c>
      <c r="E779" s="1278"/>
      <c r="F779" s="1135">
        <f t="shared" ref="F779" si="27">E779*D779</f>
        <v>0</v>
      </c>
    </row>
    <row r="780" spans="1:6" s="1160" customFormat="1" ht="11.25">
      <c r="A780" s="1155"/>
      <c r="B780" s="1175"/>
      <c r="C780" s="1217"/>
      <c r="D780" s="1192"/>
      <c r="E780" s="1278"/>
      <c r="F780" s="1161"/>
    </row>
    <row r="781" spans="1:6" s="1160" customFormat="1" ht="22.5">
      <c r="A781" s="1155">
        <f>A779+0.001</f>
        <v>1.9079999999999999</v>
      </c>
      <c r="B781" s="1175" t="s">
        <v>2284</v>
      </c>
      <c r="C781" s="1217" t="s">
        <v>2632</v>
      </c>
      <c r="D781" s="1192">
        <v>1</v>
      </c>
      <c r="E781" s="1278"/>
      <c r="F781" s="1135">
        <f t="shared" ref="F781" si="28">E781*D781</f>
        <v>0</v>
      </c>
    </row>
    <row r="782" spans="1:6" s="1160" customFormat="1" ht="11.25">
      <c r="A782" s="1155"/>
      <c r="B782" s="1175"/>
      <c r="C782" s="1217"/>
      <c r="D782" s="1192"/>
      <c r="E782" s="1278"/>
      <c r="F782" s="1161"/>
    </row>
    <row r="783" spans="1:6" s="1160" customFormat="1" ht="33.75">
      <c r="A783" s="1155">
        <f>A781+0.001</f>
        <v>1.909</v>
      </c>
      <c r="B783" s="1175" t="s">
        <v>2285</v>
      </c>
      <c r="C783" s="1217" t="s">
        <v>2632</v>
      </c>
      <c r="D783" s="1192">
        <v>1</v>
      </c>
      <c r="E783" s="1278"/>
      <c r="F783" s="1135">
        <f t="shared" ref="F783" si="29">E783*D783</f>
        <v>0</v>
      </c>
    </row>
    <row r="784" spans="1:6" s="1160" customFormat="1" ht="11.25">
      <c r="A784" s="1155"/>
      <c r="B784" s="1175"/>
      <c r="C784" s="1217"/>
      <c r="D784" s="1192"/>
      <c r="E784" s="1278"/>
      <c r="F784" s="1135"/>
    </row>
    <row r="785" spans="1:10" s="1169" customFormat="1" ht="22.5">
      <c r="A785" s="1155">
        <f>A783+0.001</f>
        <v>1.91</v>
      </c>
      <c r="B785" s="1175" t="s">
        <v>2429</v>
      </c>
      <c r="C785" s="1172" t="s">
        <v>2632</v>
      </c>
      <c r="D785" s="1192">
        <v>1</v>
      </c>
      <c r="E785" s="1277"/>
      <c r="F785" s="1215">
        <f>E785*D785</f>
        <v>0</v>
      </c>
      <c r="H785" s="1218"/>
      <c r="I785" s="1219"/>
      <c r="J785" s="1220"/>
    </row>
    <row r="786" spans="1:10" s="1160" customFormat="1" ht="11.25">
      <c r="A786" s="1130"/>
      <c r="B786" s="1175"/>
      <c r="C786" s="1172"/>
      <c r="D786" s="1159"/>
      <c r="E786" s="1266"/>
      <c r="F786" s="1135"/>
    </row>
    <row r="787" spans="1:10">
      <c r="A787" s="1127">
        <f>A723+0.1</f>
        <v>2</v>
      </c>
      <c r="B787" s="1128" t="s">
        <v>2743</v>
      </c>
      <c r="C787" s="1185"/>
      <c r="D787" s="1186"/>
      <c r="E787" s="1267"/>
      <c r="F787" s="1187"/>
    </row>
    <row r="788" spans="1:10" ht="90">
      <c r="A788" s="1130">
        <f>A787+0.001</f>
        <v>2.0009999999999999</v>
      </c>
      <c r="B788" s="1190" t="s">
        <v>2744</v>
      </c>
      <c r="C788" s="1172" t="s">
        <v>2243</v>
      </c>
      <c r="D788" s="1159">
        <v>2</v>
      </c>
      <c r="E788" s="1266"/>
      <c r="F788" s="1135">
        <f>E788*D788</f>
        <v>0</v>
      </c>
    </row>
    <row r="789" spans="1:10">
      <c r="B789" s="1190" t="s">
        <v>2745</v>
      </c>
      <c r="E789" s="1264"/>
    </row>
    <row r="790" spans="1:10">
      <c r="B790" s="1191" t="s">
        <v>2746</v>
      </c>
      <c r="C790" s="1188"/>
      <c r="D790" s="1140"/>
      <c r="E790" s="1268"/>
      <c r="F790" s="1178"/>
    </row>
    <row r="791" spans="1:10">
      <c r="B791" s="1190" t="s">
        <v>2747</v>
      </c>
      <c r="C791" s="1188"/>
      <c r="D791" s="1140"/>
      <c r="E791" s="1268"/>
      <c r="F791" s="1178"/>
    </row>
    <row r="792" spans="1:10">
      <c r="B792" s="1190" t="s">
        <v>2748</v>
      </c>
      <c r="C792" s="1188"/>
      <c r="D792" s="1140"/>
      <c r="E792" s="1268"/>
      <c r="F792" s="1178"/>
    </row>
    <row r="793" spans="1:10">
      <c r="B793" s="1190" t="s">
        <v>2749</v>
      </c>
      <c r="C793" s="1188"/>
      <c r="D793" s="1140"/>
      <c r="E793" s="1268"/>
      <c r="F793" s="1178"/>
    </row>
    <row r="794" spans="1:10">
      <c r="B794" s="1190" t="s">
        <v>2750</v>
      </c>
      <c r="C794" s="1188"/>
      <c r="D794" s="1140"/>
      <c r="E794" s="1268"/>
      <c r="F794" s="1178"/>
    </row>
    <row r="795" spans="1:10">
      <c r="B795" s="1190" t="s">
        <v>2751</v>
      </c>
      <c r="C795" s="1188"/>
      <c r="D795" s="1140"/>
      <c r="E795" s="1268"/>
      <c r="F795" s="1178"/>
    </row>
    <row r="796" spans="1:10">
      <c r="B796" s="1190" t="s">
        <v>2752</v>
      </c>
      <c r="C796" s="1188"/>
      <c r="D796" s="1140"/>
      <c r="E796" s="1268"/>
      <c r="F796" s="1178"/>
    </row>
    <row r="797" spans="1:10">
      <c r="B797" s="1190" t="s">
        <v>2753</v>
      </c>
      <c r="C797" s="1188"/>
      <c r="D797" s="1140"/>
      <c r="E797" s="1268"/>
      <c r="F797" s="1178"/>
    </row>
    <row r="798" spans="1:10">
      <c r="B798" s="1190" t="s">
        <v>2754</v>
      </c>
      <c r="C798" s="1188"/>
      <c r="D798" s="1140"/>
      <c r="E798" s="1268"/>
      <c r="F798" s="1178"/>
    </row>
    <row r="799" spans="1:10">
      <c r="B799" s="1190" t="s">
        <v>2755</v>
      </c>
      <c r="C799" s="1188"/>
      <c r="D799" s="1140"/>
      <c r="E799" s="1268"/>
      <c r="F799" s="1178"/>
    </row>
    <row r="800" spans="1:10">
      <c r="B800" s="1190" t="s">
        <v>2756</v>
      </c>
      <c r="C800" s="1188"/>
      <c r="D800" s="1140"/>
      <c r="E800" s="1268"/>
      <c r="F800" s="1178"/>
    </row>
    <row r="801" spans="1:6">
      <c r="B801" s="1190" t="s">
        <v>2757</v>
      </c>
      <c r="C801" s="1188"/>
      <c r="D801" s="1140"/>
      <c r="E801" s="1268"/>
      <c r="F801" s="1178"/>
    </row>
    <row r="802" spans="1:6" ht="22.5">
      <c r="B802" s="1190" t="s">
        <v>2758</v>
      </c>
      <c r="C802" s="1188"/>
      <c r="D802" s="1140"/>
      <c r="E802" s="1268"/>
      <c r="F802" s="1178"/>
    </row>
    <row r="803" spans="1:6">
      <c r="B803" s="1190" t="s">
        <v>2759</v>
      </c>
      <c r="C803" s="1188"/>
      <c r="D803" s="1140"/>
      <c r="E803" s="1268"/>
      <c r="F803" s="1178"/>
    </row>
    <row r="804" spans="1:6">
      <c r="B804" s="1190" t="s">
        <v>2760</v>
      </c>
      <c r="C804" s="1188"/>
      <c r="D804" s="1140"/>
      <c r="E804" s="1268"/>
      <c r="F804" s="1178"/>
    </row>
    <row r="805" spans="1:6">
      <c r="B805" s="1190" t="s">
        <v>2761</v>
      </c>
      <c r="C805" s="1188"/>
      <c r="D805" s="1140"/>
      <c r="E805" s="1268"/>
      <c r="F805" s="1178"/>
    </row>
    <row r="806" spans="1:6">
      <c r="B806" s="1190"/>
      <c r="C806" s="1188"/>
      <c r="D806" s="1140"/>
      <c r="E806" s="1268"/>
      <c r="F806" s="1178"/>
    </row>
    <row r="807" spans="1:6">
      <c r="B807" s="1190" t="s">
        <v>2549</v>
      </c>
      <c r="C807" s="1188"/>
      <c r="D807" s="1140"/>
      <c r="E807" s="1268"/>
      <c r="F807" s="1178"/>
    </row>
    <row r="808" spans="1:6" ht="45">
      <c r="A808" s="1130">
        <f>A788+0.001</f>
        <v>2.0019999999999998</v>
      </c>
      <c r="B808" s="1190" t="s">
        <v>2762</v>
      </c>
      <c r="C808" s="1172" t="s">
        <v>2243</v>
      </c>
      <c r="D808" s="1159">
        <v>2</v>
      </c>
      <c r="E808" s="1266"/>
      <c r="F808" s="1135">
        <f>E808*D808</f>
        <v>0</v>
      </c>
    </row>
    <row r="809" spans="1:6">
      <c r="B809" s="1190" t="s">
        <v>2763</v>
      </c>
      <c r="C809" s="1188"/>
      <c r="D809" s="1140"/>
      <c r="E809" s="1268"/>
      <c r="F809" s="1178"/>
    </row>
    <row r="810" spans="1:6">
      <c r="B810" s="1190" t="s">
        <v>2764</v>
      </c>
      <c r="C810" s="1188"/>
      <c r="D810" s="1140"/>
      <c r="E810" s="1268"/>
      <c r="F810" s="1178"/>
    </row>
    <row r="811" spans="1:6">
      <c r="B811" s="1190" t="s">
        <v>2765</v>
      </c>
      <c r="C811" s="1188"/>
      <c r="D811" s="1140"/>
      <c r="E811" s="1268"/>
      <c r="F811" s="1178"/>
    </row>
    <row r="812" spans="1:6">
      <c r="B812" s="1190" t="s">
        <v>2766</v>
      </c>
      <c r="C812" s="1188"/>
      <c r="D812" s="1140"/>
      <c r="E812" s="1268"/>
      <c r="F812" s="1178"/>
    </row>
    <row r="813" spans="1:6">
      <c r="B813" s="1190" t="s">
        <v>2767</v>
      </c>
      <c r="C813" s="1188"/>
      <c r="D813" s="1140"/>
      <c r="E813" s="1268"/>
      <c r="F813" s="1178"/>
    </row>
    <row r="814" spans="1:6">
      <c r="B814" s="1190"/>
      <c r="C814" s="1188"/>
      <c r="D814" s="1140"/>
      <c r="E814" s="1268"/>
      <c r="F814" s="1178"/>
    </row>
    <row r="815" spans="1:6" s="1169" customFormat="1" ht="67.5">
      <c r="A815" s="1130">
        <f>A808+0.001</f>
        <v>2.0030000000000001</v>
      </c>
      <c r="B815" s="1202" t="s">
        <v>2671</v>
      </c>
      <c r="C815" s="1203"/>
      <c r="D815" s="1204"/>
      <c r="E815" s="1271"/>
      <c r="F815" s="1135"/>
    </row>
    <row r="816" spans="1:6" s="1169" customFormat="1" ht="11.25">
      <c r="A816" s="1155"/>
      <c r="B816" s="1202" t="s">
        <v>2672</v>
      </c>
      <c r="C816" s="1203" t="s">
        <v>1160</v>
      </c>
      <c r="D816" s="1204">
        <v>42</v>
      </c>
      <c r="E816" s="1271"/>
      <c r="F816" s="1135">
        <f t="shared" ref="F816:F817" si="30">E816*D816</f>
        <v>0</v>
      </c>
    </row>
    <row r="817" spans="1:6" s="1169" customFormat="1" ht="11.25">
      <c r="A817" s="1155"/>
      <c r="B817" s="1202" t="s">
        <v>2674</v>
      </c>
      <c r="C817" s="1203" t="s">
        <v>1160</v>
      </c>
      <c r="D817" s="1204">
        <v>32</v>
      </c>
      <c r="E817" s="1271"/>
      <c r="F817" s="1135">
        <f t="shared" si="30"/>
        <v>0</v>
      </c>
    </row>
    <row r="818" spans="1:6" s="1169" customFormat="1" ht="11.25">
      <c r="A818" s="1155"/>
      <c r="B818" s="1202"/>
      <c r="C818" s="1203"/>
      <c r="D818" s="1204"/>
      <c r="E818" s="1271"/>
      <c r="F818" s="1135"/>
    </row>
    <row r="819" spans="1:6">
      <c r="A819" s="1130">
        <f>A815+0.001</f>
        <v>2.004</v>
      </c>
      <c r="B819" s="1190" t="s">
        <v>2676</v>
      </c>
      <c r="C819" s="1172"/>
      <c r="D819" s="1140"/>
      <c r="E819" s="1273"/>
      <c r="F819" s="1178"/>
    </row>
    <row r="820" spans="1:6" ht="113.25">
      <c r="B820" s="1205" t="s">
        <v>2677</v>
      </c>
      <c r="C820" s="1188"/>
      <c r="D820" s="1140"/>
      <c r="E820" s="1268"/>
      <c r="F820" s="1178"/>
    </row>
    <row r="821" spans="1:6">
      <c r="B821" s="1190" t="s">
        <v>2678</v>
      </c>
      <c r="C821" s="1188"/>
      <c r="D821" s="1140"/>
      <c r="E821" s="1268"/>
      <c r="F821" s="1178"/>
    </row>
    <row r="822" spans="1:6">
      <c r="B822" s="1190" t="s">
        <v>2768</v>
      </c>
      <c r="C822" s="1188" t="s">
        <v>27</v>
      </c>
      <c r="D822" s="1159">
        <v>56</v>
      </c>
      <c r="E822" s="1266"/>
      <c r="F822" s="1135">
        <f>E822*D822</f>
        <v>0</v>
      </c>
    </row>
    <row r="823" spans="1:6">
      <c r="B823" s="1190"/>
      <c r="C823" s="1188"/>
      <c r="D823" s="1159"/>
      <c r="E823" s="1266"/>
      <c r="F823" s="1135"/>
    </row>
    <row r="824" spans="1:6" ht="33.75">
      <c r="A824" s="1130">
        <f>A819+0.001</f>
        <v>2.0049999999999999</v>
      </c>
      <c r="B824" s="1228" t="s">
        <v>2769</v>
      </c>
      <c r="D824" s="1140"/>
      <c r="E824" s="1273"/>
      <c r="F824" s="1178"/>
    </row>
    <row r="825" spans="1:6" s="1169" customFormat="1" ht="11.25">
      <c r="A825" s="1155"/>
      <c r="B825" s="1202" t="s">
        <v>2674</v>
      </c>
      <c r="C825" s="1203" t="s">
        <v>1160</v>
      </c>
      <c r="D825" s="1204">
        <v>6</v>
      </c>
      <c r="E825" s="1271"/>
      <c r="F825" s="1135">
        <f t="shared" ref="F825" si="31">E825*D825</f>
        <v>0</v>
      </c>
    </row>
    <row r="826" spans="1:6">
      <c r="B826" s="1190"/>
      <c r="C826" s="1188"/>
      <c r="D826" s="1159"/>
      <c r="E826" s="1266"/>
      <c r="F826" s="1135"/>
    </row>
    <row r="827" spans="1:6" ht="33.75">
      <c r="A827" s="1130">
        <f>A824+0.001</f>
        <v>2.0059999999999998</v>
      </c>
      <c r="B827" s="1190" t="s">
        <v>2680</v>
      </c>
      <c r="D827" s="1140"/>
      <c r="E827" s="1273"/>
      <c r="F827" s="1178"/>
    </row>
    <row r="828" spans="1:6">
      <c r="B828" s="1190" t="s">
        <v>2770</v>
      </c>
      <c r="C828" s="1188" t="s">
        <v>27</v>
      </c>
      <c r="D828" s="1159">
        <v>28</v>
      </c>
      <c r="E828" s="1266"/>
      <c r="F828" s="1135">
        <f>E828*D828</f>
        <v>0</v>
      </c>
    </row>
    <row r="829" spans="1:6" s="1169" customFormat="1" ht="11.25">
      <c r="A829" s="1155"/>
      <c r="B829" s="1202" t="s">
        <v>2672</v>
      </c>
      <c r="C829" s="1203" t="s">
        <v>1160</v>
      </c>
      <c r="D829" s="1204">
        <v>22</v>
      </c>
      <c r="E829" s="1271"/>
      <c r="F829" s="1135">
        <f t="shared" ref="F829:F830" si="32">E829*D829</f>
        <v>0</v>
      </c>
    </row>
    <row r="830" spans="1:6" s="1169" customFormat="1" ht="11.25">
      <c r="A830" s="1155"/>
      <c r="B830" s="1202" t="s">
        <v>2674</v>
      </c>
      <c r="C830" s="1203" t="s">
        <v>1160</v>
      </c>
      <c r="D830" s="1204">
        <v>16</v>
      </c>
      <c r="E830" s="1271"/>
      <c r="F830" s="1135">
        <f t="shared" si="32"/>
        <v>0</v>
      </c>
    </row>
    <row r="831" spans="1:6">
      <c r="B831" s="1190"/>
      <c r="C831" s="1188"/>
      <c r="D831" s="1159"/>
      <c r="E831" s="1266"/>
      <c r="F831" s="1135"/>
    </row>
    <row r="832" spans="1:6" s="1160" customFormat="1" ht="45">
      <c r="A832" s="1130">
        <f>A827+0.001</f>
        <v>2.0070000000000001</v>
      </c>
      <c r="B832" s="1206" t="s">
        <v>2771</v>
      </c>
      <c r="C832" s="1207"/>
      <c r="D832" s="1208"/>
      <c r="E832" s="1274"/>
      <c r="F832" s="1209"/>
    </row>
    <row r="833" spans="1:6" s="1160" customFormat="1" ht="11.25">
      <c r="A833" s="1210"/>
      <c r="B833" s="1206" t="s">
        <v>2772</v>
      </c>
      <c r="C833" s="1211" t="s">
        <v>34</v>
      </c>
      <c r="D833" s="1212">
        <v>12</v>
      </c>
      <c r="E833" s="1275"/>
      <c r="F833" s="1209">
        <f>E833*D833</f>
        <v>0</v>
      </c>
    </row>
    <row r="834" spans="1:6" s="1160" customFormat="1" ht="11.25">
      <c r="A834" s="1210"/>
      <c r="B834" s="1206" t="s">
        <v>2773</v>
      </c>
      <c r="C834" s="1211" t="s">
        <v>34</v>
      </c>
      <c r="D834" s="1212">
        <v>4</v>
      </c>
      <c r="E834" s="1275"/>
      <c r="F834" s="1209">
        <f>E834*D834</f>
        <v>0</v>
      </c>
    </row>
    <row r="835" spans="1:6" s="1160" customFormat="1" ht="11.25">
      <c r="A835" s="1210"/>
      <c r="B835" s="1206"/>
      <c r="C835" s="1211"/>
      <c r="D835" s="1212"/>
      <c r="E835" s="1275"/>
      <c r="F835" s="1209"/>
    </row>
    <row r="836" spans="1:6" s="1160" customFormat="1" ht="56.25">
      <c r="A836" s="1130">
        <f>A832+0.001</f>
        <v>2.008</v>
      </c>
      <c r="B836" s="1206" t="s">
        <v>2774</v>
      </c>
      <c r="C836" s="1211"/>
      <c r="D836" s="1212"/>
      <c r="E836" s="1275"/>
      <c r="F836" s="1209"/>
    </row>
    <row r="837" spans="1:6" s="1160" customFormat="1" ht="11.25">
      <c r="A837" s="1130"/>
      <c r="B837" s="1206" t="s">
        <v>2775</v>
      </c>
      <c r="C837" s="1211" t="s">
        <v>34</v>
      </c>
      <c r="D837" s="1212">
        <v>6</v>
      </c>
      <c r="E837" s="1275"/>
      <c r="F837" s="1209">
        <f>E837*D837</f>
        <v>0</v>
      </c>
    </row>
    <row r="838" spans="1:6" s="1160" customFormat="1" ht="11.25">
      <c r="A838" s="1130"/>
      <c r="B838" s="1206" t="s">
        <v>2776</v>
      </c>
      <c r="C838" s="1211" t="s">
        <v>34</v>
      </c>
      <c r="D838" s="1212">
        <v>6</v>
      </c>
      <c r="E838" s="1275"/>
      <c r="F838" s="1209">
        <f>E838*D838</f>
        <v>0</v>
      </c>
    </row>
    <row r="839" spans="1:6" s="1169" customFormat="1" ht="11.25">
      <c r="A839" s="1155"/>
      <c r="B839" s="1202"/>
      <c r="C839" s="1203"/>
      <c r="D839" s="1204"/>
      <c r="E839" s="1271"/>
      <c r="F839" s="1135"/>
    </row>
    <row r="840" spans="1:6" s="1160" customFormat="1" ht="45">
      <c r="A840" s="1130">
        <f>A836+0.001</f>
        <v>2.0089999999999999</v>
      </c>
      <c r="B840" s="1213" t="s">
        <v>2685</v>
      </c>
      <c r="C840" s="1203"/>
      <c r="D840" s="1204"/>
      <c r="E840" s="1271"/>
      <c r="F840" s="1135"/>
    </row>
    <row r="841" spans="1:6" s="1160" customFormat="1" ht="11.25">
      <c r="A841" s="1214"/>
      <c r="B841" s="1213" t="s">
        <v>2777</v>
      </c>
      <c r="C841" s="1203" t="s">
        <v>34</v>
      </c>
      <c r="D841" s="1204">
        <v>4</v>
      </c>
      <c r="E841" s="1271"/>
      <c r="F841" s="1135">
        <f t="shared" ref="F841" si="33">E841*D841</f>
        <v>0</v>
      </c>
    </row>
    <row r="842" spans="1:6" s="1160" customFormat="1" ht="11.25">
      <c r="A842" s="1214"/>
      <c r="B842" s="1213"/>
      <c r="C842" s="1203"/>
      <c r="D842" s="1204"/>
      <c r="E842" s="1271"/>
      <c r="F842" s="1135"/>
    </row>
    <row r="843" spans="1:6" ht="22.5">
      <c r="A843" s="1130">
        <f>A840+0.001</f>
        <v>2.0099999999999998</v>
      </c>
      <c r="B843" s="1190" t="s">
        <v>2695</v>
      </c>
      <c r="C843" s="1172"/>
      <c r="D843" s="1159"/>
      <c r="E843" s="1266"/>
      <c r="F843" s="1135"/>
    </row>
    <row r="844" spans="1:6" ht="33.75">
      <c r="B844" s="1190" t="s">
        <v>2696</v>
      </c>
      <c r="C844" s="1172" t="s">
        <v>2243</v>
      </c>
      <c r="D844" s="1159">
        <v>1</v>
      </c>
      <c r="E844" s="1266"/>
      <c r="F844" s="1135">
        <f>E844*D844</f>
        <v>0</v>
      </c>
    </row>
    <row r="845" spans="1:6">
      <c r="B845" s="1190"/>
      <c r="C845" s="1172"/>
      <c r="D845" s="1159"/>
      <c r="E845" s="1266"/>
      <c r="F845" s="1135"/>
    </row>
    <row r="846" spans="1:6" ht="22.5">
      <c r="A846" s="1130">
        <f>A843+0.001</f>
        <v>2.0110000000000001</v>
      </c>
      <c r="B846" s="1190" t="s">
        <v>2693</v>
      </c>
      <c r="D846" s="1140"/>
      <c r="E846" s="1273"/>
      <c r="F846" s="1178"/>
    </row>
    <row r="847" spans="1:6">
      <c r="B847" s="1190" t="s">
        <v>2778</v>
      </c>
      <c r="C847" s="1172" t="s">
        <v>2243</v>
      </c>
      <c r="D847" s="1159">
        <v>8</v>
      </c>
      <c r="E847" s="1266"/>
      <c r="F847" s="1135">
        <f>E847*D847</f>
        <v>0</v>
      </c>
    </row>
    <row r="848" spans="1:6">
      <c r="B848" s="1190"/>
      <c r="C848" s="1188"/>
      <c r="D848" s="1140"/>
      <c r="E848" s="1268"/>
      <c r="F848" s="1178"/>
    </row>
    <row r="849" spans="1:6" s="1160" customFormat="1" ht="45">
      <c r="A849" s="1130">
        <f>A846+0.001</f>
        <v>2.012</v>
      </c>
      <c r="B849" s="1175" t="s">
        <v>2283</v>
      </c>
      <c r="C849" s="1172" t="s">
        <v>2632</v>
      </c>
      <c r="D849" s="1192">
        <v>1</v>
      </c>
      <c r="E849" s="1269"/>
      <c r="F849" s="1135">
        <f>E849*D849</f>
        <v>0</v>
      </c>
    </row>
    <row r="850" spans="1:6" s="1160" customFormat="1" ht="11.25">
      <c r="A850" s="1193"/>
      <c r="B850" s="1175"/>
      <c r="C850" s="1172"/>
      <c r="D850" s="1192"/>
      <c r="E850" s="1269"/>
      <c r="F850" s="1161"/>
    </row>
    <row r="851" spans="1:6" s="1160" customFormat="1" ht="22.5">
      <c r="A851" s="1130">
        <f>A849+0.001</f>
        <v>2.0129999999999999</v>
      </c>
      <c r="B851" s="1175" t="s">
        <v>2284</v>
      </c>
      <c r="C851" s="1172" t="s">
        <v>2632</v>
      </c>
      <c r="D851" s="1192">
        <v>1</v>
      </c>
      <c r="E851" s="1269"/>
      <c r="F851" s="1135">
        <f>E851*D851</f>
        <v>0</v>
      </c>
    </row>
    <row r="852" spans="1:6" s="1160" customFormat="1" ht="11.25">
      <c r="A852" s="1193"/>
      <c r="B852" s="1175"/>
      <c r="C852" s="1172"/>
      <c r="D852" s="1192"/>
      <c r="E852" s="1269"/>
      <c r="F852" s="1161"/>
    </row>
    <row r="853" spans="1:6" s="1160" customFormat="1" ht="33.75">
      <c r="A853" s="1130">
        <f>A851+0.001</f>
        <v>2.0139999999999998</v>
      </c>
      <c r="B853" s="1175" t="s">
        <v>2285</v>
      </c>
      <c r="C853" s="1172" t="s">
        <v>2632</v>
      </c>
      <c r="D853" s="1192">
        <v>1</v>
      </c>
      <c r="E853" s="1269"/>
      <c r="F853" s="1135">
        <f>E853*D853</f>
        <v>0</v>
      </c>
    </row>
    <row r="854" spans="1:6">
      <c r="C854" s="1172"/>
      <c r="D854" s="1159"/>
      <c r="E854" s="1266"/>
      <c r="F854" s="1135"/>
    </row>
    <row r="855" spans="1:6" s="1160" customFormat="1" ht="22.5">
      <c r="A855" s="1130">
        <f>A853+0.001</f>
        <v>2.0150000000000001</v>
      </c>
      <c r="B855" s="1175" t="s">
        <v>2779</v>
      </c>
      <c r="C855" s="1172" t="s">
        <v>2243</v>
      </c>
      <c r="D855" s="1159">
        <v>1</v>
      </c>
      <c r="E855" s="1266"/>
      <c r="F855" s="1135">
        <f>E855*D855</f>
        <v>0</v>
      </c>
    </row>
    <row r="856" spans="1:6" s="1160" customFormat="1" ht="11.25">
      <c r="A856" s="1130"/>
      <c r="B856" s="1175"/>
      <c r="C856" s="1172"/>
      <c r="D856" s="1159"/>
      <c r="E856" s="1266"/>
      <c r="F856" s="1135"/>
    </row>
    <row r="857" spans="1:6">
      <c r="A857" s="1127">
        <f>A787+0.1</f>
        <v>2.1</v>
      </c>
      <c r="B857" s="1128" t="s">
        <v>2780</v>
      </c>
      <c r="C857" s="1229"/>
      <c r="D857" s="1230"/>
      <c r="E857" s="1279"/>
      <c r="F857" s="1187"/>
    </row>
    <row r="858" spans="1:6" s="1232" customFormat="1" ht="90">
      <c r="A858" s="1130">
        <f>A857+0.001</f>
        <v>2.101</v>
      </c>
      <c r="B858" s="1227" t="s">
        <v>2781</v>
      </c>
      <c r="C858" s="1227"/>
      <c r="D858" s="1227"/>
      <c r="E858" s="1280"/>
      <c r="F858" s="1231"/>
    </row>
    <row r="859" spans="1:6" s="1232" customFormat="1" ht="22.5">
      <c r="A859" s="1233"/>
      <c r="B859" s="1227" t="s">
        <v>2782</v>
      </c>
      <c r="C859" s="1227"/>
      <c r="D859" s="1227"/>
      <c r="E859" s="1280"/>
      <c r="F859" s="1231"/>
    </row>
    <row r="860" spans="1:6" s="1232" customFormat="1">
      <c r="A860" s="1233"/>
      <c r="B860" s="1227" t="s">
        <v>2783</v>
      </c>
      <c r="C860" s="1227"/>
      <c r="D860" s="1227"/>
      <c r="E860" s="1280"/>
      <c r="F860" s="1231"/>
    </row>
    <row r="861" spans="1:6" s="1160" customFormat="1" ht="11.25">
      <c r="A861" s="1193"/>
      <c r="B861" s="1202" t="s">
        <v>2784</v>
      </c>
      <c r="C861" s="1196" t="s">
        <v>2243</v>
      </c>
      <c r="D861" s="1197">
        <v>2</v>
      </c>
      <c r="E861" s="1281"/>
      <c r="F861" s="1234">
        <f t="shared" ref="F861:F862" si="34">E861*D861</f>
        <v>0</v>
      </c>
    </row>
    <row r="862" spans="1:6" s="1160" customFormat="1" ht="11.25">
      <c r="A862" s="1193"/>
      <c r="B862" s="1227" t="s">
        <v>2785</v>
      </c>
      <c r="C862" s="1196" t="s">
        <v>2243</v>
      </c>
      <c r="D862" s="1197">
        <v>1</v>
      </c>
      <c r="E862" s="1281"/>
      <c r="F862" s="1234">
        <f t="shared" si="34"/>
        <v>0</v>
      </c>
    </row>
    <row r="863" spans="1:6" s="1160" customFormat="1" ht="11.25">
      <c r="A863" s="1193"/>
      <c r="B863" s="1198"/>
      <c r="C863" s="1196"/>
      <c r="D863" s="1197"/>
      <c r="E863" s="1271"/>
      <c r="F863" s="1135"/>
    </row>
    <row r="864" spans="1:6" s="1232" customFormat="1" ht="56.25">
      <c r="A864" s="1130">
        <f>A858+0.001</f>
        <v>2.1019999999999999</v>
      </c>
      <c r="B864" s="1227" t="s">
        <v>2786</v>
      </c>
      <c r="C864" s="1235"/>
      <c r="D864" s="1236"/>
      <c r="E864" s="1282"/>
      <c r="F864" s="1237"/>
    </row>
    <row r="865" spans="1:6" s="1232" customFormat="1" ht="22.5">
      <c r="A865" s="1233"/>
      <c r="B865" s="1227" t="s">
        <v>2787</v>
      </c>
      <c r="C865" s="1235"/>
      <c r="D865" s="1236"/>
      <c r="E865" s="1282"/>
      <c r="F865" s="1237"/>
    </row>
    <row r="866" spans="1:6" s="1232" customFormat="1">
      <c r="A866" s="1233"/>
      <c r="B866" s="1227" t="s">
        <v>2788</v>
      </c>
      <c r="C866" s="1235"/>
      <c r="D866" s="1236"/>
      <c r="E866" s="1282"/>
      <c r="F866" s="1237"/>
    </row>
    <row r="867" spans="1:6" s="1232" customFormat="1">
      <c r="A867" s="1233"/>
      <c r="B867" s="1227" t="s">
        <v>2673</v>
      </c>
      <c r="C867" s="1196" t="s">
        <v>2243</v>
      </c>
      <c r="D867" s="1197">
        <v>2</v>
      </c>
      <c r="E867" s="1281"/>
      <c r="F867" s="1234">
        <f t="shared" ref="F867:F868" si="35">E867*D867</f>
        <v>0</v>
      </c>
    </row>
    <row r="868" spans="1:6" s="1232" customFormat="1">
      <c r="A868" s="1233"/>
      <c r="B868" s="1227" t="s">
        <v>2785</v>
      </c>
      <c r="C868" s="1196" t="s">
        <v>2243</v>
      </c>
      <c r="D868" s="1197">
        <v>1</v>
      </c>
      <c r="E868" s="1281"/>
      <c r="F868" s="1234">
        <f t="shared" si="35"/>
        <v>0</v>
      </c>
    </row>
    <row r="869" spans="1:6" s="1232" customFormat="1">
      <c r="A869" s="1233"/>
      <c r="B869" s="1227"/>
      <c r="C869" s="1235"/>
      <c r="D869" s="1236"/>
      <c r="E869" s="1282"/>
      <c r="F869" s="1237"/>
    </row>
    <row r="870" spans="1:6" s="1232" customFormat="1" ht="33.75">
      <c r="A870" s="1130">
        <f>A864+0.001</f>
        <v>2.1030000000000002</v>
      </c>
      <c r="B870" s="1227" t="s">
        <v>2789</v>
      </c>
      <c r="C870" s="1196" t="s">
        <v>2243</v>
      </c>
      <c r="D870" s="1197">
        <v>4</v>
      </c>
      <c r="E870" s="1281"/>
      <c r="F870" s="1234">
        <f t="shared" ref="F870" si="36">E870*D870</f>
        <v>0</v>
      </c>
    </row>
    <row r="871" spans="1:6" s="1160" customFormat="1" ht="11.25">
      <c r="A871" s="1130"/>
      <c r="B871" s="1175"/>
      <c r="C871" s="1172"/>
      <c r="D871" s="1159"/>
      <c r="E871" s="1266"/>
      <c r="F871" s="1135"/>
    </row>
    <row r="872" spans="1:6" s="1160" customFormat="1" ht="45">
      <c r="A872" s="1130">
        <f>A870+0.001</f>
        <v>2.1040000000000001</v>
      </c>
      <c r="B872" s="1175" t="s">
        <v>2283</v>
      </c>
      <c r="C872" s="1172" t="s">
        <v>2632</v>
      </c>
      <c r="D872" s="1192">
        <v>1</v>
      </c>
      <c r="E872" s="1269"/>
      <c r="F872" s="1135">
        <f>E872*D872</f>
        <v>0</v>
      </c>
    </row>
    <row r="873" spans="1:6" s="1160" customFormat="1" ht="11.25">
      <c r="A873" s="1193"/>
      <c r="B873" s="1175"/>
      <c r="C873" s="1172"/>
      <c r="D873" s="1192"/>
      <c r="E873" s="1269"/>
      <c r="F873" s="1161"/>
    </row>
    <row r="874" spans="1:6" s="1160" customFormat="1" ht="22.5">
      <c r="A874" s="1130">
        <f>A872+0.001</f>
        <v>2.105</v>
      </c>
      <c r="B874" s="1175" t="s">
        <v>2284</v>
      </c>
      <c r="C874" s="1172" t="s">
        <v>2632</v>
      </c>
      <c r="D874" s="1192">
        <v>1</v>
      </c>
      <c r="E874" s="1269"/>
      <c r="F874" s="1135">
        <f>E874*D874</f>
        <v>0</v>
      </c>
    </row>
    <row r="875" spans="1:6" s="1160" customFormat="1" ht="11.25">
      <c r="A875" s="1193"/>
      <c r="B875" s="1175"/>
      <c r="C875" s="1172"/>
      <c r="D875" s="1192"/>
      <c r="E875" s="1269"/>
      <c r="F875" s="1161"/>
    </row>
    <row r="876" spans="1:6" s="1160" customFormat="1" ht="33.75">
      <c r="A876" s="1130">
        <f>A874+0.001</f>
        <v>2.1059999999999999</v>
      </c>
      <c r="B876" s="1175" t="s">
        <v>2285</v>
      </c>
      <c r="C876" s="1172" t="s">
        <v>2632</v>
      </c>
      <c r="D876" s="1192">
        <v>1</v>
      </c>
      <c r="E876" s="1269"/>
      <c r="F876" s="1135">
        <f>E876*D876</f>
        <v>0</v>
      </c>
    </row>
    <row r="877" spans="1:6">
      <c r="C877" s="1172"/>
      <c r="D877" s="1159"/>
      <c r="E877" s="1266"/>
      <c r="F877" s="1135"/>
    </row>
    <row r="878" spans="1:6" s="1160" customFormat="1" ht="22.5">
      <c r="A878" s="1130">
        <f>A876+0.001</f>
        <v>2.1070000000000002</v>
      </c>
      <c r="B878" s="1175" t="s">
        <v>2779</v>
      </c>
      <c r="C878" s="1172" t="s">
        <v>2243</v>
      </c>
      <c r="D878" s="1159">
        <v>1</v>
      </c>
      <c r="E878" s="1266"/>
      <c r="F878" s="1135">
        <f>E878*D878</f>
        <v>0</v>
      </c>
    </row>
    <row r="879" spans="1:6" s="1160" customFormat="1" ht="11.25">
      <c r="A879" s="1130"/>
      <c r="B879" s="1175"/>
      <c r="C879" s="1172"/>
      <c r="D879" s="1159"/>
      <c r="E879" s="1266"/>
      <c r="F879" s="1135"/>
    </row>
    <row r="880" spans="1:6">
      <c r="A880" s="1127">
        <f>A857+0.1</f>
        <v>2.2000000000000002</v>
      </c>
      <c r="B880" s="1128" t="s">
        <v>2790</v>
      </c>
      <c r="C880" s="1229"/>
      <c r="D880" s="1230"/>
      <c r="E880" s="1279"/>
      <c r="F880" s="1187"/>
    </row>
    <row r="881" spans="1:12" s="1169" customFormat="1" ht="67.5">
      <c r="A881" s="1130">
        <f>A880+0.001</f>
        <v>2.2010000000000001</v>
      </c>
      <c r="B881" s="1175" t="s">
        <v>2791</v>
      </c>
      <c r="C881" s="1172" t="s">
        <v>2632</v>
      </c>
      <c r="D881" s="1192">
        <v>1</v>
      </c>
      <c r="E881" s="1278"/>
      <c r="F881" s="1135">
        <f>E881*D881</f>
        <v>0</v>
      </c>
      <c r="J881" s="1218"/>
      <c r="K881" s="1219"/>
      <c r="L881" s="1220"/>
    </row>
    <row r="882" spans="1:12" s="1169" customFormat="1" ht="22.5">
      <c r="A882" s="1238"/>
      <c r="B882" s="1175" t="s">
        <v>2792</v>
      </c>
      <c r="C882" s="1239"/>
      <c r="D882" s="1240"/>
      <c r="E882" s="1283"/>
      <c r="F882" s="1241"/>
      <c r="J882" s="1218"/>
      <c r="K882" s="1219"/>
      <c r="L882" s="1220"/>
    </row>
    <row r="883" spans="1:12" s="1169" customFormat="1" ht="56.25">
      <c r="A883" s="1238"/>
      <c r="B883" s="1175" t="s">
        <v>2793</v>
      </c>
      <c r="C883" s="1239"/>
      <c r="D883" s="1240"/>
      <c r="E883" s="1283"/>
      <c r="F883" s="1241"/>
      <c r="J883" s="1218"/>
      <c r="K883" s="1219"/>
      <c r="L883" s="1220"/>
    </row>
    <row r="884" spans="1:12" s="1169" customFormat="1" ht="11.25">
      <c r="A884" s="1238"/>
      <c r="B884" s="1175"/>
      <c r="C884" s="1239"/>
      <c r="D884" s="1240"/>
      <c r="E884" s="1283"/>
      <c r="F884" s="1241"/>
      <c r="J884" s="1218"/>
      <c r="K884" s="1219"/>
      <c r="L884" s="1220"/>
    </row>
    <row r="885" spans="1:12" ht="67.5">
      <c r="A885" s="1130">
        <f>A881+0.001</f>
        <v>2.202</v>
      </c>
      <c r="B885" s="1145" t="s">
        <v>2794</v>
      </c>
      <c r="C885" s="1141" t="s">
        <v>2632</v>
      </c>
      <c r="D885" s="1242">
        <v>1</v>
      </c>
      <c r="E885" s="1284"/>
      <c r="F885" s="1243">
        <f>D885*E885</f>
        <v>0</v>
      </c>
    </row>
    <row r="886" spans="1:12">
      <c r="A886" s="1244"/>
      <c r="B886" s="1145"/>
      <c r="C886" s="1141"/>
      <c r="D886" s="1242"/>
      <c r="E886" s="1284"/>
      <c r="F886" s="1243"/>
    </row>
    <row r="887" spans="1:12" ht="79.5">
      <c r="A887" s="1130">
        <f>A885+0.001</f>
        <v>2.2029999999999998</v>
      </c>
      <c r="B887" s="1179" t="s">
        <v>2795</v>
      </c>
      <c r="C887" s="1141" t="s">
        <v>2632</v>
      </c>
      <c r="D887" s="1245">
        <v>1</v>
      </c>
      <c r="E887" s="1284"/>
      <c r="F887" s="1243">
        <f>D887*E887</f>
        <v>0</v>
      </c>
    </row>
    <row r="888" spans="1:12">
      <c r="A888" s="1244"/>
      <c r="B888" s="1145"/>
      <c r="C888" s="1246"/>
      <c r="D888" s="1245"/>
      <c r="E888" s="1284"/>
      <c r="F888" s="1243"/>
    </row>
    <row r="889" spans="1:12" ht="56.25">
      <c r="A889" s="1130">
        <f>A887+0.001</f>
        <v>2.2040000000000002</v>
      </c>
      <c r="B889" s="1145" t="s">
        <v>2796</v>
      </c>
      <c r="C889" s="1141" t="s">
        <v>2632</v>
      </c>
      <c r="D889" s="1245">
        <v>1</v>
      </c>
      <c r="E889" s="1284"/>
      <c r="F889" s="1243">
        <f>D889*E889</f>
        <v>0</v>
      </c>
    </row>
    <row r="890" spans="1:12" s="1169" customFormat="1" ht="11.25">
      <c r="A890" s="1130"/>
      <c r="B890" s="1190"/>
      <c r="C890" s="1172"/>
      <c r="D890" s="1159"/>
      <c r="E890" s="1285"/>
      <c r="F890" s="1135"/>
    </row>
    <row r="891" spans="1:12" s="1169" customFormat="1" ht="11.25">
      <c r="A891" s="1130">
        <f>A889+0.001</f>
        <v>2.2050000000000001</v>
      </c>
      <c r="B891" s="1247" t="s">
        <v>2797</v>
      </c>
      <c r="C891" s="1248"/>
      <c r="D891" s="1204"/>
      <c r="E891" s="1286"/>
      <c r="F891" s="1135"/>
    </row>
    <row r="892" spans="1:12" s="1169" customFormat="1" ht="11.25">
      <c r="A892" s="1249"/>
      <c r="B892" s="1247" t="s">
        <v>2798</v>
      </c>
      <c r="C892" s="1248" t="s">
        <v>62</v>
      </c>
      <c r="D892" s="1204">
        <v>40</v>
      </c>
      <c r="E892" s="1271"/>
      <c r="F892" s="1243">
        <f>D892*E892</f>
        <v>0</v>
      </c>
    </row>
    <row r="893" spans="1:12" s="1169" customFormat="1" ht="11.25">
      <c r="A893" s="1249"/>
      <c r="B893" s="1247" t="s">
        <v>2799</v>
      </c>
      <c r="C893" s="1248" t="s">
        <v>62</v>
      </c>
      <c r="D893" s="1204">
        <v>40</v>
      </c>
      <c r="E893" s="1271"/>
      <c r="F893" s="1243">
        <f>D893*E893</f>
        <v>0</v>
      </c>
    </row>
    <row r="894" spans="1:12" s="1169" customFormat="1" ht="11.25">
      <c r="A894" s="1249"/>
      <c r="B894" s="1247"/>
      <c r="C894" s="1248"/>
      <c r="D894" s="1204"/>
      <c r="E894" s="1271"/>
      <c r="F894" s="1243"/>
    </row>
    <row r="895" spans="1:12" s="1160" customFormat="1" ht="33.75">
      <c r="A895" s="1130">
        <f>A891+0.001</f>
        <v>2.206</v>
      </c>
      <c r="B895" s="1250" t="s">
        <v>2800</v>
      </c>
      <c r="C895" s="1141" t="s">
        <v>2632</v>
      </c>
      <c r="D895" s="1245">
        <v>1</v>
      </c>
      <c r="E895" s="1284"/>
      <c r="F895" s="1243">
        <f>D895*E895</f>
        <v>0</v>
      </c>
    </row>
    <row r="896" spans="1:12" s="1160" customFormat="1" ht="11.25">
      <c r="A896" s="1130"/>
      <c r="B896" s="1250"/>
      <c r="C896" s="1141"/>
      <c r="D896" s="1245"/>
      <c r="E896" s="1284"/>
      <c r="F896" s="1243"/>
    </row>
    <row r="897" spans="1:6">
      <c r="A897" s="1251">
        <f>A1</f>
        <v>1</v>
      </c>
      <c r="B897" s="1701" t="str">
        <f>B1</f>
        <v>INSTALACIJA GRIJANJA, HLAĐENJA I VENTILACIJE</v>
      </c>
      <c r="C897" s="1702"/>
      <c r="D897" s="1702"/>
      <c r="E897" s="60"/>
      <c r="F897" s="1252">
        <f>SUM(F3:F896)</f>
        <v>0</v>
      </c>
    </row>
    <row r="898" spans="1:6">
      <c r="E898" s="1264" t="s">
        <v>2801</v>
      </c>
      <c r="F898" s="1178">
        <f>F897*0.25</f>
        <v>0</v>
      </c>
    </row>
    <row r="899" spans="1:6">
      <c r="B899" s="1136" t="s">
        <v>2802</v>
      </c>
      <c r="E899" s="1264"/>
      <c r="F899" s="1253">
        <f>F897+F898</f>
        <v>0</v>
      </c>
    </row>
    <row r="900" spans="1:6">
      <c r="E900" s="1264"/>
    </row>
    <row r="901" spans="1:6">
      <c r="E901" s="1264"/>
    </row>
  </sheetData>
  <sheetProtection algorithmName="SHA-512" hashValue="5RxfiwWy9pdiS+Dw85CxoEDtoJnGT9DLRM+Q/mNG572YX2V3kdOIcE4eeCDHesM+FQaUMqVtgKjyoiG+fiK7aQ==" saltValue="Z7PrYvynJY0bY00lFgCv3Q==" spinCount="100000" sheet="1" objects="1" scenarios="1"/>
  <mergeCells count="2">
    <mergeCell ref="D1:E1"/>
    <mergeCell ref="B897:D897"/>
  </mergeCells>
  <pageMargins left="0.7" right="0.7" top="0.75" bottom="0.75" header="0.3" footer="0.3"/>
  <pageSetup paperSize="9" scale="95" orientation="portrait" verticalDpi="1200" r:id="rId1"/>
  <headerFooter>
    <oddHeader xml:space="preserve">&amp;LInvestitor: Hrvatski institut za povijest&amp;CTroškovnik - GVH
&amp;Rdatum:
lipanj 2025.
</oddHeader>
    <oddFooter xml:space="preserve">&amp;CGrađevina:
Palača bogoštovlja i nastave&amp;R
str.: &amp;P od &amp;N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sheetPr>
  <dimension ref="A1:F318"/>
  <sheetViews>
    <sheetView topLeftCell="A190" zoomScaleNormal="100" zoomScaleSheetLayoutView="110" zoomScalePageLayoutView="70" workbookViewId="0">
      <selection activeCell="F209" sqref="F209"/>
    </sheetView>
  </sheetViews>
  <sheetFormatPr defaultColWidth="9.140625" defaultRowHeight="12.75"/>
  <cols>
    <col min="1" max="1" width="7.7109375" style="1469" customWidth="1"/>
    <col min="2" max="2" width="46.5703125" style="1466" customWidth="1"/>
    <col min="3" max="3" width="6.7109375" style="1467" customWidth="1"/>
    <col min="4" max="4" width="5.7109375" style="1468" customWidth="1"/>
    <col min="5" max="5" width="12.42578125" style="1464" customWidth="1"/>
    <col min="6" max="6" width="15.28515625" style="1464" customWidth="1"/>
    <col min="7" max="16384" width="9.140625" style="1465"/>
  </cols>
  <sheetData>
    <row r="1" spans="1:5" ht="12.75" customHeight="1">
      <c r="A1" s="1731" t="s">
        <v>3553</v>
      </c>
      <c r="B1" s="1731"/>
      <c r="C1" s="1731"/>
      <c r="D1" s="1731"/>
      <c r="E1" s="1731"/>
    </row>
    <row r="2" spans="1:5">
      <c r="A2" s="1731"/>
      <c r="B2" s="1731"/>
      <c r="C2" s="1731"/>
      <c r="D2" s="1731"/>
      <c r="E2" s="1731"/>
    </row>
    <row r="3" spans="1:5">
      <c r="A3" s="1731"/>
      <c r="B3" s="1731"/>
      <c r="C3" s="1731"/>
      <c r="D3" s="1731"/>
      <c r="E3" s="1731"/>
    </row>
    <row r="4" spans="1:5">
      <c r="A4" s="1731"/>
      <c r="B4" s="1731"/>
      <c r="C4" s="1731"/>
      <c r="D4" s="1731"/>
      <c r="E4" s="1731"/>
    </row>
    <row r="5" spans="1:5">
      <c r="A5" s="1731"/>
      <c r="B5" s="1731"/>
      <c r="C5" s="1731"/>
      <c r="D5" s="1731"/>
      <c r="E5" s="1731"/>
    </row>
    <row r="7" spans="1:5" ht="12.75" customHeight="1">
      <c r="A7" s="1732" t="s">
        <v>3554</v>
      </c>
      <c r="B7" s="1733"/>
    </row>
    <row r="8" spans="1:5" ht="12.75" customHeight="1">
      <c r="B8" s="1734" t="s">
        <v>3555</v>
      </c>
      <c r="C8" s="1734"/>
      <c r="D8" s="1734"/>
    </row>
    <row r="9" spans="1:5" ht="12.75" customHeight="1">
      <c r="B9" s="1734"/>
      <c r="C9" s="1734"/>
      <c r="D9" s="1734"/>
    </row>
    <row r="10" spans="1:5" ht="12.75" customHeight="1">
      <c r="B10" s="1470"/>
    </row>
    <row r="11" spans="1:5">
      <c r="B11" s="1470"/>
    </row>
    <row r="12" spans="1:5">
      <c r="A12" s="1726" t="s">
        <v>3556</v>
      </c>
      <c r="B12" s="1726"/>
    </row>
    <row r="13" spans="1:5" ht="12.75" customHeight="1">
      <c r="B13" s="1734" t="s">
        <v>3557</v>
      </c>
      <c r="C13" s="1734"/>
      <c r="D13" s="1734"/>
    </row>
    <row r="14" spans="1:5" ht="25.5" customHeight="1">
      <c r="B14" s="1734"/>
      <c r="C14" s="1734"/>
      <c r="D14" s="1734"/>
    </row>
    <row r="15" spans="1:5">
      <c r="B15" s="1734"/>
      <c r="C15" s="1734"/>
      <c r="D15" s="1734"/>
    </row>
    <row r="16" spans="1:5">
      <c r="B16" s="1472"/>
      <c r="C16" s="1472"/>
      <c r="D16" s="1472"/>
    </row>
    <row r="17" spans="1:6">
      <c r="A17" s="1726" t="s">
        <v>3558</v>
      </c>
      <c r="B17" s="1726"/>
    </row>
    <row r="18" spans="1:6" ht="12.75" customHeight="1">
      <c r="B18" s="1470" t="s">
        <v>3559</v>
      </c>
      <c r="C18" s="1466"/>
      <c r="D18" s="1466"/>
    </row>
    <row r="20" spans="1:6">
      <c r="A20" s="1726" t="s">
        <v>3560</v>
      </c>
      <c r="B20" s="1726"/>
    </row>
    <row r="21" spans="1:6" ht="12.75" customHeight="1">
      <c r="B21" s="1473" t="s">
        <v>3561</v>
      </c>
      <c r="C21" s="1466"/>
      <c r="D21" s="1466"/>
    </row>
    <row r="22" spans="1:6" ht="12.75" customHeight="1">
      <c r="B22" s="1473"/>
      <c r="C22" s="1466"/>
      <c r="D22" s="1466"/>
    </row>
    <row r="23" spans="1:6">
      <c r="A23" s="1726" t="s">
        <v>3562</v>
      </c>
      <c r="B23" s="1726"/>
    </row>
    <row r="24" spans="1:6" ht="12.75" customHeight="1">
      <c r="B24" s="1473" t="s">
        <v>3563</v>
      </c>
      <c r="C24" s="1466"/>
      <c r="D24" s="1466"/>
    </row>
    <row r="25" spans="1:6" ht="12.75" customHeight="1">
      <c r="B25" s="1474"/>
      <c r="C25" s="1466"/>
      <c r="D25" s="1466"/>
    </row>
    <row r="27" spans="1:6" ht="12.75" customHeight="1">
      <c r="A27" s="1727" t="s">
        <v>3564</v>
      </c>
      <c r="B27" s="1728"/>
      <c r="C27" s="1728"/>
      <c r="D27" s="1728"/>
      <c r="E27" s="1728"/>
      <c r="F27" s="1728"/>
    </row>
    <row r="28" spans="1:6" ht="12.75" customHeight="1">
      <c r="A28" s="1728"/>
      <c r="B28" s="1728"/>
      <c r="C28" s="1728"/>
      <c r="D28" s="1728"/>
      <c r="E28" s="1728"/>
      <c r="F28" s="1728"/>
    </row>
    <row r="29" spans="1:6" ht="12.75" customHeight="1">
      <c r="A29" s="1728"/>
      <c r="B29" s="1728"/>
      <c r="C29" s="1728"/>
      <c r="D29" s="1728"/>
      <c r="E29" s="1728"/>
      <c r="F29" s="1728"/>
    </row>
    <row r="30" spans="1:6" ht="12.75" customHeight="1">
      <c r="A30" s="1728"/>
      <c r="B30" s="1728"/>
      <c r="C30" s="1728"/>
      <c r="D30" s="1728"/>
      <c r="E30" s="1728"/>
      <c r="F30" s="1728"/>
    </row>
    <row r="31" spans="1:6" ht="12.75" customHeight="1">
      <c r="A31" s="1728"/>
      <c r="B31" s="1728"/>
      <c r="C31" s="1728"/>
      <c r="D31" s="1728"/>
      <c r="E31" s="1728"/>
      <c r="F31" s="1728"/>
    </row>
    <row r="32" spans="1:6" ht="18" customHeight="1">
      <c r="A32" s="1728"/>
      <c r="B32" s="1728"/>
      <c r="C32" s="1728"/>
      <c r="D32" s="1728"/>
      <c r="E32" s="1728"/>
      <c r="F32" s="1728"/>
    </row>
    <row r="33" spans="1:6" ht="12.75" customHeight="1">
      <c r="A33" s="1475"/>
      <c r="B33" s="1475"/>
      <c r="C33" s="1475"/>
      <c r="D33" s="1475"/>
      <c r="E33" s="1475"/>
      <c r="F33" s="1475"/>
    </row>
    <row r="36" spans="1:6">
      <c r="A36" s="1726" t="s">
        <v>5</v>
      </c>
      <c r="B36" s="1726"/>
    </row>
    <row r="37" spans="1:6">
      <c r="A37" s="1471"/>
      <c r="B37" s="1729" t="s">
        <v>253</v>
      </c>
    </row>
    <row r="38" spans="1:6">
      <c r="A38" s="1471"/>
      <c r="B38" s="1729"/>
    </row>
    <row r="39" spans="1:6">
      <c r="B39" s="1729"/>
    </row>
    <row r="40" spans="1:6">
      <c r="B40" s="1729"/>
    </row>
    <row r="42" spans="1:6">
      <c r="A42" s="1726" t="s">
        <v>3565</v>
      </c>
      <c r="B42" s="1726"/>
    </row>
    <row r="43" spans="1:6">
      <c r="A43" s="1471"/>
      <c r="B43" s="1729" t="s">
        <v>3566</v>
      </c>
    </row>
    <row r="44" spans="1:6">
      <c r="A44" s="1471"/>
      <c r="B44" s="1729"/>
    </row>
    <row r="45" spans="1:6">
      <c r="B45" s="1729"/>
    </row>
    <row r="46" spans="1:6">
      <c r="B46" s="1729"/>
    </row>
    <row r="47" spans="1:6">
      <c r="B47" s="1476"/>
    </row>
    <row r="48" spans="1:6">
      <c r="A48" s="1726" t="s">
        <v>3567</v>
      </c>
      <c r="B48" s="1726"/>
    </row>
    <row r="49" spans="1:6">
      <c r="A49" s="1471"/>
      <c r="B49" s="1729" t="s">
        <v>3566</v>
      </c>
    </row>
    <row r="50" spans="1:6">
      <c r="A50" s="1471"/>
      <c r="B50" s="1729"/>
    </row>
    <row r="51" spans="1:6">
      <c r="B51" s="1729"/>
    </row>
    <row r="52" spans="1:6">
      <c r="B52" s="1729"/>
    </row>
    <row r="55" spans="1:6">
      <c r="B55" s="1730" t="s">
        <v>3568</v>
      </c>
      <c r="C55" s="1730"/>
      <c r="D55" s="1730"/>
      <c r="E55" s="1730"/>
    </row>
    <row r="60" spans="1:6" ht="5.0999999999999996" customHeight="1"/>
    <row r="62" spans="1:6" s="1477" customFormat="1">
      <c r="A62" s="1723" t="s">
        <v>3569</v>
      </c>
      <c r="B62" s="1723"/>
      <c r="C62" s="1723"/>
      <c r="D62" s="1723"/>
      <c r="E62" s="1723"/>
      <c r="F62" s="1723"/>
    </row>
    <row r="63" spans="1:6" s="1483" customFormat="1" ht="8.1" customHeight="1">
      <c r="A63" s="1478"/>
      <c r="B63" s="1479"/>
      <c r="C63" s="1480"/>
      <c r="D63" s="1481"/>
      <c r="E63" s="1482"/>
      <c r="F63" s="1482"/>
    </row>
    <row r="64" spans="1:6" s="1486" customFormat="1" ht="25.5" customHeight="1">
      <c r="A64" s="1484" t="s">
        <v>3570</v>
      </c>
      <c r="B64" s="1718" t="s">
        <v>3571</v>
      </c>
      <c r="C64" s="1718"/>
      <c r="D64" s="1718"/>
      <c r="E64" s="1718"/>
      <c r="F64" s="1718"/>
    </row>
    <row r="65" spans="1:6" s="1486" customFormat="1" ht="5.0999999999999996" customHeight="1">
      <c r="A65" s="1484" t="s">
        <v>3572</v>
      </c>
      <c r="B65" s="1487"/>
      <c r="C65" s="1488"/>
      <c r="D65" s="1489"/>
      <c r="E65" s="1490"/>
      <c r="F65" s="1490"/>
    </row>
    <row r="66" spans="1:6" s="1486" customFormat="1" ht="12" customHeight="1">
      <c r="A66" s="1725" t="s">
        <v>3573</v>
      </c>
      <c r="B66" s="1718" t="s">
        <v>3574</v>
      </c>
      <c r="C66" s="1718"/>
      <c r="D66" s="1718"/>
      <c r="E66" s="1718"/>
      <c r="F66" s="1718"/>
    </row>
    <row r="67" spans="1:6" s="1486" customFormat="1" ht="12">
      <c r="A67" s="1725"/>
      <c r="B67" s="1718"/>
      <c r="C67" s="1718"/>
      <c r="D67" s="1718"/>
      <c r="E67" s="1718"/>
      <c r="F67" s="1718"/>
    </row>
    <row r="68" spans="1:6" s="1486" customFormat="1" ht="5.0999999999999996" customHeight="1">
      <c r="A68" s="1491"/>
    </row>
    <row r="69" spans="1:6" s="1486" customFormat="1" ht="12" customHeight="1">
      <c r="A69" s="1725" t="s">
        <v>3575</v>
      </c>
      <c r="B69" s="1718" t="s">
        <v>3576</v>
      </c>
      <c r="C69" s="1718"/>
      <c r="D69" s="1718"/>
      <c r="E69" s="1718"/>
      <c r="F69" s="1718"/>
    </row>
    <row r="70" spans="1:6" s="1486" customFormat="1" ht="29.25" customHeight="1">
      <c r="A70" s="1725"/>
      <c r="B70" s="1718"/>
      <c r="C70" s="1718"/>
      <c r="D70" s="1718"/>
      <c r="E70" s="1718"/>
      <c r="F70" s="1718"/>
    </row>
    <row r="71" spans="1:6" s="1486" customFormat="1" ht="5.0999999999999996" customHeight="1">
      <c r="A71" s="1484"/>
      <c r="B71" s="1485"/>
      <c r="C71" s="1485"/>
      <c r="D71" s="1485"/>
      <c r="E71" s="1485"/>
      <c r="F71" s="1485"/>
    </row>
    <row r="73" spans="1:6" s="1477" customFormat="1">
      <c r="A73" s="1723" t="s">
        <v>3577</v>
      </c>
      <c r="B73" s="1723"/>
      <c r="C73" s="1723"/>
      <c r="D73" s="1723"/>
      <c r="E73" s="1723"/>
      <c r="F73" s="1723"/>
    </row>
    <row r="74" spans="1:6" s="1483" customFormat="1" ht="8.1" customHeight="1">
      <c r="A74" s="1478"/>
      <c r="B74" s="1479"/>
      <c r="C74" s="1480"/>
      <c r="D74" s="1481"/>
      <c r="E74" s="1482"/>
      <c r="F74" s="1482"/>
    </row>
    <row r="75" spans="1:6" s="1486" customFormat="1" ht="25.5" customHeight="1">
      <c r="A75" s="1484" t="s">
        <v>2813</v>
      </c>
      <c r="B75" s="1718" t="s">
        <v>3578</v>
      </c>
      <c r="C75" s="1718"/>
      <c r="D75" s="1718"/>
      <c r="E75" s="1718"/>
      <c r="F75" s="1718"/>
    </row>
    <row r="76" spans="1:6" s="1486" customFormat="1" ht="5.0999999999999996" customHeight="1">
      <c r="A76" s="1484" t="s">
        <v>3572</v>
      </c>
      <c r="B76" s="1487"/>
      <c r="C76" s="1488"/>
      <c r="D76" s="1489"/>
      <c r="E76" s="1490"/>
      <c r="F76" s="1490"/>
    </row>
    <row r="77" spans="1:6" s="1486" customFormat="1" ht="12" customHeight="1">
      <c r="A77" s="1725" t="s">
        <v>2817</v>
      </c>
      <c r="B77" s="1718" t="s">
        <v>3579</v>
      </c>
      <c r="C77" s="1718"/>
      <c r="D77" s="1718"/>
      <c r="E77" s="1718"/>
      <c r="F77" s="1718"/>
    </row>
    <row r="78" spans="1:6" s="1486" customFormat="1" ht="12">
      <c r="A78" s="1725"/>
      <c r="B78" s="1718"/>
      <c r="C78" s="1718"/>
      <c r="D78" s="1718"/>
      <c r="E78" s="1718"/>
      <c r="F78" s="1718"/>
    </row>
    <row r="79" spans="1:6" s="1486" customFormat="1" ht="5.0999999999999996" customHeight="1">
      <c r="A79" s="1491"/>
    </row>
    <row r="80" spans="1:6" s="1486" customFormat="1" ht="26.25" customHeight="1">
      <c r="A80" s="1492" t="s">
        <v>2821</v>
      </c>
      <c r="B80" s="1719" t="s">
        <v>3580</v>
      </c>
      <c r="C80" s="1719"/>
      <c r="D80" s="1719"/>
      <c r="E80" s="1719"/>
      <c r="F80" s="1719"/>
    </row>
    <row r="81" spans="1:6" s="1486" customFormat="1" ht="5.0999999999999996" customHeight="1">
      <c r="A81" s="1484"/>
      <c r="B81" s="1485"/>
      <c r="C81" s="1485"/>
      <c r="D81" s="1485"/>
      <c r="E81" s="1485"/>
      <c r="F81" s="1485"/>
    </row>
    <row r="82" spans="1:6" s="1486" customFormat="1" ht="26.25" customHeight="1">
      <c r="A82" s="1494" t="s">
        <v>2832</v>
      </c>
      <c r="B82" s="1719" t="s">
        <v>3581</v>
      </c>
      <c r="C82" s="1719"/>
      <c r="D82" s="1719"/>
      <c r="E82" s="1719"/>
      <c r="F82" s="1719"/>
    </row>
    <row r="83" spans="1:6" s="1486" customFormat="1" ht="5.0999999999999996" customHeight="1">
      <c r="A83" s="1484"/>
      <c r="B83" s="1485"/>
      <c r="C83" s="1485"/>
      <c r="D83" s="1485"/>
      <c r="E83" s="1485"/>
      <c r="F83" s="1485"/>
    </row>
    <row r="84" spans="1:6" s="1486" customFormat="1" ht="26.25" customHeight="1">
      <c r="A84" s="1494" t="s">
        <v>2842</v>
      </c>
      <c r="B84" s="1719" t="s">
        <v>3582</v>
      </c>
      <c r="C84" s="1719"/>
      <c r="D84" s="1719"/>
      <c r="E84" s="1719"/>
      <c r="F84" s="1719"/>
    </row>
    <row r="85" spans="1:6" s="1486" customFormat="1" ht="5.0999999999999996" customHeight="1">
      <c r="A85" s="1484"/>
      <c r="B85" s="1485"/>
      <c r="C85" s="1485"/>
      <c r="D85" s="1485"/>
      <c r="E85" s="1485"/>
      <c r="F85" s="1485"/>
    </row>
    <row r="86" spans="1:6" ht="12.75" customHeight="1">
      <c r="A86" s="1494"/>
      <c r="B86" s="1493"/>
      <c r="C86" s="1493"/>
      <c r="D86" s="1493"/>
      <c r="E86" s="1493"/>
      <c r="F86" s="1493"/>
    </row>
    <row r="87" spans="1:6" ht="12.75" customHeight="1">
      <c r="A87" s="1495"/>
      <c r="B87" s="1719"/>
      <c r="C87" s="1719"/>
      <c r="D87" s="1719"/>
      <c r="E87" s="1719"/>
      <c r="F87" s="1465"/>
    </row>
    <row r="88" spans="1:6" s="1477" customFormat="1">
      <c r="A88" s="1723" t="s">
        <v>3583</v>
      </c>
      <c r="B88" s="1723"/>
      <c r="C88" s="1723"/>
      <c r="D88" s="1723"/>
      <c r="E88" s="1723"/>
      <c r="F88" s="1723"/>
    </row>
    <row r="89" spans="1:6" s="1483" customFormat="1" ht="8.1" customHeight="1">
      <c r="A89" s="1478"/>
      <c r="B89" s="1479"/>
      <c r="C89" s="1480"/>
      <c r="D89" s="1481"/>
      <c r="E89" s="1482"/>
      <c r="F89" s="1482"/>
    </row>
    <row r="90" spans="1:6" s="1486" customFormat="1" ht="39.950000000000003" customHeight="1">
      <c r="A90" s="1484" t="s">
        <v>604</v>
      </c>
      <c r="B90" s="1724" t="s">
        <v>3584</v>
      </c>
      <c r="C90" s="1724"/>
      <c r="D90" s="1724"/>
      <c r="E90" s="1724"/>
      <c r="F90" s="1724"/>
    </row>
    <row r="91" spans="1:6" s="1486" customFormat="1" ht="5.0999999999999996" customHeight="1">
      <c r="A91" s="1484"/>
      <c r="B91" s="1487"/>
      <c r="C91" s="1488"/>
      <c r="D91" s="1489"/>
      <c r="E91" s="1490"/>
      <c r="F91" s="1490"/>
    </row>
    <row r="92" spans="1:6" s="1486" customFormat="1" ht="25.5" customHeight="1">
      <c r="A92" s="1484" t="s">
        <v>603</v>
      </c>
      <c r="B92" s="1724" t="s">
        <v>3585</v>
      </c>
      <c r="C92" s="1724"/>
      <c r="D92" s="1724"/>
      <c r="E92" s="1724"/>
      <c r="F92" s="1724"/>
    </row>
    <row r="93" spans="1:6" s="1486" customFormat="1" ht="5.0999999999999996" customHeight="1">
      <c r="A93" s="1491"/>
    </row>
    <row r="94" spans="1:6" s="1486" customFormat="1" ht="12">
      <c r="A94" s="1725" t="s">
        <v>607</v>
      </c>
      <c r="B94" s="1718" t="s">
        <v>3586</v>
      </c>
      <c r="C94" s="1718"/>
      <c r="D94" s="1718"/>
      <c r="E94" s="1718"/>
      <c r="F94" s="1718"/>
    </row>
    <row r="95" spans="1:6" s="1486" customFormat="1" ht="12">
      <c r="A95" s="1725"/>
      <c r="B95" s="1718"/>
      <c r="C95" s="1718"/>
      <c r="D95" s="1718"/>
      <c r="E95" s="1718"/>
      <c r="F95" s="1718"/>
    </row>
    <row r="96" spans="1:6" s="1486" customFormat="1" ht="5.0999999999999996" customHeight="1">
      <c r="A96" s="1484"/>
      <c r="B96" s="1485"/>
      <c r="C96" s="1485"/>
      <c r="D96" s="1485"/>
      <c r="E96" s="1485"/>
      <c r="F96" s="1485"/>
    </row>
    <row r="97" spans="1:6" s="1486" customFormat="1" ht="28.5" customHeight="1">
      <c r="A97" s="1494" t="s">
        <v>989</v>
      </c>
      <c r="B97" s="1719" t="s">
        <v>3587</v>
      </c>
      <c r="C97" s="1719"/>
      <c r="D97" s="1719"/>
      <c r="E97" s="1719"/>
      <c r="F97" s="1719"/>
    </row>
    <row r="98" spans="1:6" s="1486" customFormat="1" ht="5.0999999999999996" customHeight="1">
      <c r="A98" s="1484"/>
      <c r="B98" s="1485"/>
      <c r="C98" s="1485"/>
      <c r="D98" s="1485"/>
      <c r="E98" s="1485"/>
      <c r="F98" s="1485"/>
    </row>
    <row r="99" spans="1:6" s="1486" customFormat="1" ht="26.25" customHeight="1">
      <c r="A99" s="1494" t="s">
        <v>990</v>
      </c>
      <c r="B99" s="1719" t="s">
        <v>3580</v>
      </c>
      <c r="C99" s="1719"/>
      <c r="D99" s="1719"/>
      <c r="E99" s="1719"/>
      <c r="F99" s="1719"/>
    </row>
    <row r="100" spans="1:6" s="1486" customFormat="1" ht="5.0999999999999996" customHeight="1">
      <c r="A100" s="1484"/>
      <c r="B100" s="1485"/>
      <c r="C100" s="1485"/>
      <c r="D100" s="1485"/>
      <c r="E100" s="1485"/>
      <c r="F100" s="1485"/>
    </row>
    <row r="101" spans="1:6" s="1486" customFormat="1" ht="26.25" customHeight="1">
      <c r="A101" s="1494" t="s">
        <v>2949</v>
      </c>
      <c r="B101" s="1719" t="s">
        <v>3588</v>
      </c>
      <c r="C101" s="1719"/>
      <c r="D101" s="1719"/>
      <c r="E101" s="1719"/>
      <c r="F101" s="1719"/>
    </row>
    <row r="102" spans="1:6" s="1486" customFormat="1" ht="5.0999999999999996" customHeight="1">
      <c r="A102" s="1484"/>
      <c r="B102" s="1485"/>
      <c r="C102" s="1485"/>
      <c r="D102" s="1485"/>
      <c r="E102" s="1485"/>
      <c r="F102" s="1485"/>
    </row>
    <row r="103" spans="1:6" s="1486" customFormat="1" ht="26.25" customHeight="1">
      <c r="A103" s="1494" t="s">
        <v>2958</v>
      </c>
      <c r="B103" s="1719" t="s">
        <v>3589</v>
      </c>
      <c r="C103" s="1719"/>
      <c r="D103" s="1719"/>
      <c r="E103" s="1719"/>
      <c r="F103" s="1719"/>
    </row>
    <row r="104" spans="1:6" ht="12.75" customHeight="1">
      <c r="A104" s="1494"/>
      <c r="B104" s="1493"/>
      <c r="C104" s="1493"/>
      <c r="D104" s="1493"/>
      <c r="E104" s="1493"/>
      <c r="F104" s="1493"/>
    </row>
    <row r="105" spans="1:6" ht="12.75" customHeight="1">
      <c r="A105" s="1495"/>
      <c r="B105" s="1719"/>
      <c r="C105" s="1719"/>
      <c r="D105" s="1719"/>
      <c r="E105" s="1719"/>
      <c r="F105" s="1465"/>
    </row>
    <row r="106" spans="1:6" s="1486" customFormat="1">
      <c r="A106" s="1723" t="s">
        <v>3590</v>
      </c>
      <c r="B106" s="1723"/>
      <c r="C106" s="1723"/>
      <c r="D106" s="1723"/>
      <c r="E106" s="1723"/>
      <c r="F106" s="1723"/>
    </row>
    <row r="107" spans="1:6" s="1486" customFormat="1" ht="12">
      <c r="A107" s="1478"/>
      <c r="B107" s="1479"/>
      <c r="C107" s="1480"/>
      <c r="D107" s="1481"/>
      <c r="E107" s="1482"/>
      <c r="F107" s="1482"/>
    </row>
    <row r="108" spans="1:6" s="1486" customFormat="1" ht="26.25" customHeight="1">
      <c r="A108" s="1484" t="s">
        <v>2975</v>
      </c>
      <c r="B108" s="1718" t="s">
        <v>3591</v>
      </c>
      <c r="C108" s="1718"/>
      <c r="D108" s="1718"/>
      <c r="E108" s="1718"/>
      <c r="F108" s="1718"/>
    </row>
    <row r="109" spans="1:6" s="1486" customFormat="1" ht="12">
      <c r="A109" s="1484"/>
      <c r="B109" s="1485"/>
      <c r="C109" s="1485"/>
      <c r="D109" s="1485"/>
      <c r="E109" s="1485"/>
      <c r="F109" s="1485"/>
    </row>
    <row r="110" spans="1:6" s="1486" customFormat="1" ht="36.75" customHeight="1">
      <c r="A110" s="1494" t="s">
        <v>3003</v>
      </c>
      <c r="B110" s="1719" t="s">
        <v>3592</v>
      </c>
      <c r="C110" s="1719"/>
      <c r="D110" s="1719"/>
      <c r="E110" s="1719"/>
      <c r="F110" s="1719"/>
    </row>
    <row r="111" spans="1:6" ht="12.75" customHeight="1">
      <c r="A111" s="1484"/>
      <c r="B111" s="1487"/>
      <c r="C111" s="1488"/>
      <c r="D111" s="1489"/>
      <c r="E111" s="1490"/>
      <c r="F111" s="1490"/>
    </row>
    <row r="112" spans="1:6" ht="49.5" customHeight="1">
      <c r="A112" s="1484" t="s">
        <v>3012</v>
      </c>
      <c r="B112" s="1718" t="s">
        <v>3593</v>
      </c>
      <c r="C112" s="1718"/>
      <c r="D112" s="1718"/>
      <c r="E112" s="1718"/>
      <c r="F112" s="1718"/>
    </row>
    <row r="113" spans="1:6" s="1477" customFormat="1">
      <c r="A113" s="1494"/>
      <c r="B113" s="1493"/>
      <c r="C113" s="1493"/>
      <c r="D113" s="1493"/>
      <c r="E113" s="1493"/>
      <c r="F113" s="1493"/>
    </row>
    <row r="114" spans="1:6" s="1483" customFormat="1" ht="24.75" customHeight="1">
      <c r="A114" s="1494" t="s">
        <v>3022</v>
      </c>
      <c r="B114" s="1719" t="s">
        <v>3594</v>
      </c>
      <c r="C114" s="1719"/>
      <c r="D114" s="1719"/>
      <c r="E114" s="1719"/>
      <c r="F114" s="1719"/>
    </row>
    <row r="115" spans="1:6" s="1486" customFormat="1" ht="12">
      <c r="A115" s="1494"/>
      <c r="B115" s="1493"/>
      <c r="C115" s="1493"/>
      <c r="D115" s="1493"/>
      <c r="E115" s="1493"/>
      <c r="F115" s="1493"/>
    </row>
    <row r="116" spans="1:6" s="1486" customFormat="1" ht="24.75" customHeight="1">
      <c r="A116" s="1494" t="s">
        <v>3033</v>
      </c>
      <c r="B116" s="1719" t="s">
        <v>3595</v>
      </c>
      <c r="C116" s="1719"/>
      <c r="D116" s="1719"/>
      <c r="E116" s="1719"/>
      <c r="F116" s="1719"/>
    </row>
    <row r="117" spans="1:6" s="1486" customFormat="1" ht="12.75" customHeight="1">
      <c r="A117" s="1494"/>
      <c r="B117" s="1493"/>
      <c r="C117" s="1493"/>
      <c r="D117" s="1493"/>
      <c r="E117" s="1493"/>
      <c r="F117" s="1493"/>
    </row>
    <row r="118" spans="1:6" s="1486" customFormat="1" ht="25.5" customHeight="1">
      <c r="A118" s="1494" t="s">
        <v>3596</v>
      </c>
      <c r="B118" s="1719" t="s">
        <v>3597</v>
      </c>
      <c r="C118" s="1719"/>
      <c r="D118" s="1719"/>
      <c r="E118" s="1719"/>
      <c r="F118" s="1719"/>
    </row>
    <row r="119" spans="1:6" s="1486" customFormat="1" ht="12">
      <c r="A119" s="1494"/>
      <c r="B119" s="1493"/>
      <c r="C119" s="1493"/>
      <c r="D119" s="1493"/>
      <c r="E119" s="1493"/>
      <c r="F119" s="1493"/>
    </row>
    <row r="120" spans="1:6" s="1486" customFormat="1" ht="25.5" customHeight="1">
      <c r="A120" s="1494" t="s">
        <v>3598</v>
      </c>
      <c r="B120" s="1719" t="s">
        <v>3599</v>
      </c>
      <c r="C120" s="1719"/>
      <c r="D120" s="1719"/>
      <c r="E120" s="1719"/>
      <c r="F120" s="1719"/>
    </row>
    <row r="121" spans="1:6">
      <c r="A121" s="1494"/>
      <c r="B121" s="1493"/>
      <c r="C121" s="1493"/>
      <c r="D121" s="1493"/>
      <c r="E121" s="1493"/>
      <c r="F121" s="1493"/>
    </row>
    <row r="122" spans="1:6" s="1486" customFormat="1" ht="13.5" customHeight="1">
      <c r="A122" s="1723" t="s">
        <v>3600</v>
      </c>
      <c r="B122" s="1723"/>
      <c r="C122" s="1723"/>
      <c r="D122" s="1723"/>
      <c r="E122" s="1723"/>
      <c r="F122" s="1723"/>
    </row>
    <row r="123" spans="1:6" s="1486" customFormat="1" ht="12" customHeight="1">
      <c r="A123" s="1478"/>
      <c r="B123" s="1479"/>
      <c r="C123" s="1480"/>
      <c r="D123" s="1481"/>
      <c r="E123" s="1482"/>
      <c r="F123" s="1482"/>
    </row>
    <row r="124" spans="1:6" s="1486" customFormat="1" ht="26.25" customHeight="1">
      <c r="A124" s="1496" t="s">
        <v>3083</v>
      </c>
      <c r="B124" s="1718" t="s">
        <v>3601</v>
      </c>
      <c r="C124" s="1718"/>
      <c r="D124" s="1718"/>
      <c r="E124" s="1718"/>
      <c r="F124" s="1718"/>
    </row>
    <row r="125" spans="1:6" s="1486" customFormat="1" ht="12">
      <c r="A125" s="1720"/>
      <c r="B125" s="1720"/>
      <c r="C125" s="1720"/>
      <c r="D125" s="1720"/>
      <c r="E125" s="1720"/>
      <c r="F125" s="1720"/>
    </row>
    <row r="126" spans="1:6" s="1486" customFormat="1" ht="13.5" customHeight="1">
      <c r="A126" s="1496" t="s">
        <v>3105</v>
      </c>
      <c r="B126" s="1718" t="s">
        <v>3602</v>
      </c>
      <c r="C126" s="1718"/>
      <c r="D126" s="1718"/>
      <c r="E126" s="1718"/>
      <c r="F126" s="1718"/>
    </row>
    <row r="127" spans="1:6" s="1486" customFormat="1" ht="12">
      <c r="A127" s="1720"/>
      <c r="B127" s="1720"/>
      <c r="C127" s="1720"/>
      <c r="D127" s="1720"/>
      <c r="E127" s="1720"/>
      <c r="F127" s="1720"/>
    </row>
    <row r="128" spans="1:6" s="1486" customFormat="1" ht="25.5" customHeight="1">
      <c r="A128" s="1496" t="s">
        <v>3115</v>
      </c>
      <c r="B128" s="1718" t="s">
        <v>3603</v>
      </c>
      <c r="C128" s="1718"/>
      <c r="D128" s="1718"/>
      <c r="E128" s="1718"/>
      <c r="F128" s="1718"/>
    </row>
    <row r="129" spans="1:6" s="1486" customFormat="1" ht="12">
      <c r="A129" s="1720"/>
      <c r="B129" s="1720"/>
      <c r="C129" s="1720"/>
      <c r="D129" s="1720"/>
      <c r="E129" s="1720"/>
      <c r="F129" s="1720"/>
    </row>
    <row r="130" spans="1:6" s="1486" customFormat="1" ht="12">
      <c r="A130" s="1721" t="s">
        <v>3127</v>
      </c>
      <c r="B130" s="1718" t="s">
        <v>3604</v>
      </c>
      <c r="C130" s="1718"/>
      <c r="D130" s="1718"/>
      <c r="E130" s="1718"/>
      <c r="F130" s="1718"/>
    </row>
    <row r="131" spans="1:6" s="1486" customFormat="1" ht="24.75" customHeight="1">
      <c r="A131" s="1721"/>
      <c r="B131" s="1718"/>
      <c r="C131" s="1718"/>
      <c r="D131" s="1718"/>
      <c r="E131" s="1718"/>
      <c r="F131" s="1718"/>
    </row>
    <row r="132" spans="1:6" s="1486" customFormat="1" ht="12">
      <c r="A132" s="1720"/>
      <c r="B132" s="1720"/>
      <c r="C132" s="1720"/>
      <c r="D132" s="1720"/>
      <c r="E132" s="1720"/>
      <c r="F132" s="1720"/>
    </row>
    <row r="133" spans="1:6" s="1486" customFormat="1" ht="39.75" customHeight="1">
      <c r="A133" s="1496" t="s">
        <v>3605</v>
      </c>
      <c r="B133" s="1718" t="s">
        <v>3606</v>
      </c>
      <c r="C133" s="1718"/>
      <c r="D133" s="1718"/>
      <c r="E133" s="1718"/>
      <c r="F133" s="1718"/>
    </row>
    <row r="134" spans="1:6" s="1486" customFormat="1" ht="12">
      <c r="A134" s="1720"/>
      <c r="B134" s="1720"/>
      <c r="C134" s="1720"/>
      <c r="D134" s="1720"/>
      <c r="E134" s="1720"/>
      <c r="F134" s="1720"/>
    </row>
    <row r="135" spans="1:6" s="1486" customFormat="1" ht="24" customHeight="1">
      <c r="A135" s="1496" t="s">
        <v>3607</v>
      </c>
      <c r="B135" s="1718" t="s">
        <v>3608</v>
      </c>
      <c r="C135" s="1718"/>
      <c r="D135" s="1718"/>
      <c r="E135" s="1718"/>
      <c r="F135" s="1718"/>
    </row>
    <row r="136" spans="1:6" s="1486" customFormat="1" ht="12">
      <c r="A136" s="1722"/>
      <c r="B136" s="1722"/>
      <c r="C136" s="1722"/>
      <c r="D136" s="1722"/>
      <c r="E136" s="1722"/>
      <c r="F136" s="1722"/>
    </row>
    <row r="137" spans="1:6" s="1486" customFormat="1" ht="61.5" customHeight="1">
      <c r="A137" s="1496" t="s">
        <v>3609</v>
      </c>
      <c r="B137" s="1718" t="s">
        <v>3610</v>
      </c>
      <c r="C137" s="1718"/>
      <c r="D137" s="1718"/>
      <c r="E137" s="1718"/>
      <c r="F137" s="1718"/>
    </row>
    <row r="138" spans="1:6" s="1486" customFormat="1">
      <c r="A138" s="1469"/>
      <c r="B138" s="1497"/>
      <c r="C138" s="1497"/>
      <c r="D138" s="1497"/>
      <c r="E138" s="1497"/>
      <c r="F138" s="1497"/>
    </row>
    <row r="139" spans="1:6" s="1486" customFormat="1" ht="13.5" customHeight="1">
      <c r="A139" s="1723" t="s">
        <v>3611</v>
      </c>
      <c r="B139" s="1723"/>
      <c r="C139" s="1723"/>
      <c r="D139" s="1723"/>
      <c r="E139" s="1723"/>
      <c r="F139" s="1723"/>
    </row>
    <row r="140" spans="1:6" s="1486" customFormat="1" ht="12">
      <c r="A140" s="1478"/>
      <c r="B140" s="1479"/>
      <c r="C140" s="1480"/>
      <c r="D140" s="1481"/>
      <c r="E140" s="1482"/>
      <c r="F140" s="1482"/>
    </row>
    <row r="141" spans="1:6" s="1486" customFormat="1" ht="24" customHeight="1">
      <c r="A141" s="1496" t="s">
        <v>3152</v>
      </c>
      <c r="B141" s="1718" t="s">
        <v>3612</v>
      </c>
      <c r="C141" s="1718"/>
      <c r="D141" s="1718"/>
      <c r="E141" s="1718"/>
      <c r="F141" s="1718"/>
    </row>
    <row r="142" spans="1:6" s="1486" customFormat="1" ht="12">
      <c r="A142" s="1496"/>
      <c r="B142" s="1487"/>
      <c r="C142" s="1488"/>
      <c r="D142" s="1489"/>
      <c r="E142" s="1490"/>
      <c r="F142" s="1490"/>
    </row>
    <row r="143" spans="1:6" s="1486" customFormat="1" ht="12">
      <c r="A143" s="1496" t="s">
        <v>3155</v>
      </c>
      <c r="B143" s="1718" t="s">
        <v>3613</v>
      </c>
      <c r="C143" s="1718"/>
      <c r="D143" s="1718"/>
      <c r="E143" s="1718"/>
      <c r="F143" s="1718"/>
    </row>
    <row r="144" spans="1:6" s="1486" customFormat="1" ht="12">
      <c r="A144" s="1496"/>
      <c r="B144" s="1487"/>
      <c r="C144" s="1488"/>
      <c r="D144" s="1489"/>
      <c r="E144" s="1490"/>
      <c r="F144" s="1490"/>
    </row>
    <row r="145" spans="1:6">
      <c r="A145" s="1496" t="s">
        <v>3169</v>
      </c>
      <c r="B145" s="1718" t="s">
        <v>3614</v>
      </c>
      <c r="C145" s="1718"/>
      <c r="D145" s="1718"/>
      <c r="E145" s="1718"/>
      <c r="F145" s="1718"/>
    </row>
    <row r="146" spans="1:6" s="1486" customFormat="1" ht="12">
      <c r="A146" s="1496"/>
      <c r="B146" s="1487"/>
      <c r="C146" s="1488"/>
      <c r="D146" s="1489"/>
      <c r="E146" s="1490"/>
      <c r="F146" s="1490"/>
    </row>
    <row r="147" spans="1:6" s="1486" customFormat="1" ht="24" customHeight="1">
      <c r="A147" s="1496" t="s">
        <v>3186</v>
      </c>
      <c r="B147" s="1718" t="s">
        <v>3615</v>
      </c>
      <c r="C147" s="1718"/>
      <c r="D147" s="1718"/>
      <c r="E147" s="1718"/>
      <c r="F147" s="1718"/>
    </row>
    <row r="149" spans="1:6" s="1486" customFormat="1">
      <c r="A149" s="1495"/>
      <c r="B149" s="1493"/>
      <c r="C149" s="1493"/>
      <c r="D149" s="1493"/>
      <c r="E149" s="1493"/>
      <c r="F149" s="1465"/>
    </row>
    <row r="150" spans="1:6" s="1498" customFormat="1" ht="12">
      <c r="A150" s="1712" t="s">
        <v>3616</v>
      </c>
      <c r="B150" s="1713"/>
      <c r="C150" s="1713"/>
      <c r="D150" s="1713"/>
      <c r="E150" s="1713"/>
      <c r="F150" s="1714"/>
    </row>
    <row r="151" spans="1:6" s="1486" customFormat="1" ht="96">
      <c r="A151" s="1499" t="s">
        <v>2813</v>
      </c>
      <c r="B151" s="1500" t="s">
        <v>3617</v>
      </c>
      <c r="C151" s="1501" t="s">
        <v>2243</v>
      </c>
      <c r="D151" s="1502">
        <v>1</v>
      </c>
      <c r="E151" s="76"/>
      <c r="F151" s="1503" t="str">
        <f t="shared" ref="F151:F200" si="0">IF(D151*E151,D151*E151,"")</f>
        <v/>
      </c>
    </row>
    <row r="152" spans="1:6" s="1486" customFormat="1" ht="108">
      <c r="A152" s="1499" t="s">
        <v>2817</v>
      </c>
      <c r="B152" s="1500" t="s">
        <v>3618</v>
      </c>
      <c r="C152" s="1501" t="s">
        <v>2243</v>
      </c>
      <c r="D152" s="1502">
        <v>1</v>
      </c>
      <c r="E152" s="76"/>
      <c r="F152" s="1503" t="str">
        <f t="shared" si="0"/>
        <v/>
      </c>
    </row>
    <row r="153" spans="1:6" s="1486" customFormat="1" ht="72">
      <c r="A153" s="1499" t="s">
        <v>2821</v>
      </c>
      <c r="B153" s="1500" t="s">
        <v>3619</v>
      </c>
      <c r="C153" s="1501" t="s">
        <v>2243</v>
      </c>
      <c r="D153" s="1502">
        <v>1</v>
      </c>
      <c r="E153" s="76"/>
      <c r="F153" s="1503" t="str">
        <f t="shared" si="0"/>
        <v/>
      </c>
    </row>
    <row r="154" spans="1:6" s="1486" customFormat="1" ht="60">
      <c r="A154" s="1499" t="s">
        <v>2832</v>
      </c>
      <c r="B154" s="1500" t="s">
        <v>3620</v>
      </c>
      <c r="C154" s="1501" t="s">
        <v>2243</v>
      </c>
      <c r="D154" s="1502">
        <v>1</v>
      </c>
      <c r="E154" s="76"/>
      <c r="F154" s="1503" t="str">
        <f t="shared" si="0"/>
        <v/>
      </c>
    </row>
    <row r="155" spans="1:6" s="1486" customFormat="1" ht="144">
      <c r="A155" s="1499" t="s">
        <v>2842</v>
      </c>
      <c r="B155" s="1500" t="s">
        <v>3621</v>
      </c>
      <c r="C155" s="1501" t="s">
        <v>2243</v>
      </c>
      <c r="D155" s="1502">
        <v>1</v>
      </c>
      <c r="E155" s="76"/>
      <c r="F155" s="1503" t="str">
        <f t="shared" si="0"/>
        <v/>
      </c>
    </row>
    <row r="156" spans="1:6" s="1486" customFormat="1" ht="132">
      <c r="A156" s="1499" t="s">
        <v>2852</v>
      </c>
      <c r="B156" s="1500" t="s">
        <v>3622</v>
      </c>
      <c r="C156" s="1501" t="s">
        <v>2243</v>
      </c>
      <c r="D156" s="1502">
        <v>1</v>
      </c>
      <c r="E156" s="76"/>
      <c r="F156" s="1503" t="str">
        <f t="shared" si="0"/>
        <v/>
      </c>
    </row>
    <row r="157" spans="1:6" s="1486" customFormat="1" ht="96">
      <c r="A157" s="1499" t="s">
        <v>2865</v>
      </c>
      <c r="B157" s="1500" t="s">
        <v>3623</v>
      </c>
      <c r="C157" s="1501" t="s">
        <v>2243</v>
      </c>
      <c r="D157" s="1502">
        <v>1</v>
      </c>
      <c r="E157" s="76"/>
      <c r="F157" s="1503" t="str">
        <f t="shared" si="0"/>
        <v/>
      </c>
    </row>
    <row r="158" spans="1:6" s="1486" customFormat="1" ht="96">
      <c r="A158" s="1499" t="s">
        <v>2873</v>
      </c>
      <c r="B158" s="1500" t="s">
        <v>3624</v>
      </c>
      <c r="C158" s="1501" t="s">
        <v>2243</v>
      </c>
      <c r="D158" s="1502">
        <v>2</v>
      </c>
      <c r="E158" s="76"/>
      <c r="F158" s="1503" t="str">
        <f t="shared" si="0"/>
        <v/>
      </c>
    </row>
    <row r="159" spans="1:6" s="1486" customFormat="1" ht="96">
      <c r="A159" s="1499" t="s">
        <v>2880</v>
      </c>
      <c r="B159" s="1500" t="s">
        <v>3625</v>
      </c>
      <c r="C159" s="1501" t="s">
        <v>2243</v>
      </c>
      <c r="D159" s="1502">
        <v>1</v>
      </c>
      <c r="E159" s="76"/>
      <c r="F159" s="1503" t="str">
        <f t="shared" si="0"/>
        <v/>
      </c>
    </row>
    <row r="160" spans="1:6" s="1486" customFormat="1" ht="60">
      <c r="A160" s="1499" t="s">
        <v>2884</v>
      </c>
      <c r="B160" s="1500" t="s">
        <v>3626</v>
      </c>
      <c r="C160" s="1501" t="s">
        <v>2243</v>
      </c>
      <c r="D160" s="1502">
        <v>1</v>
      </c>
      <c r="E160" s="76"/>
      <c r="F160" s="1503" t="str">
        <f t="shared" si="0"/>
        <v/>
      </c>
    </row>
    <row r="161" spans="1:6" s="1486" customFormat="1" ht="60">
      <c r="A161" s="1499" t="s">
        <v>2890</v>
      </c>
      <c r="B161" s="1500" t="s">
        <v>3627</v>
      </c>
      <c r="C161" s="1501" t="s">
        <v>2243</v>
      </c>
      <c r="D161" s="1502">
        <v>1</v>
      </c>
      <c r="E161" s="76"/>
      <c r="F161" s="1503" t="str">
        <f t="shared" si="0"/>
        <v/>
      </c>
    </row>
    <row r="162" spans="1:6" s="1486" customFormat="1" ht="84">
      <c r="A162" s="1499" t="s">
        <v>2893</v>
      </c>
      <c r="B162" s="1500" t="s">
        <v>3628</v>
      </c>
      <c r="C162" s="1501" t="s">
        <v>2243</v>
      </c>
      <c r="D162" s="1502">
        <v>2</v>
      </c>
      <c r="E162" s="76"/>
      <c r="F162" s="1503" t="str">
        <f t="shared" si="0"/>
        <v/>
      </c>
    </row>
    <row r="163" spans="1:6" s="1486" customFormat="1" ht="96">
      <c r="A163" s="1499" t="s">
        <v>2900</v>
      </c>
      <c r="B163" s="1500" t="s">
        <v>3629</v>
      </c>
      <c r="C163" s="1501" t="s">
        <v>2243</v>
      </c>
      <c r="D163" s="1502">
        <v>1</v>
      </c>
      <c r="E163" s="76"/>
      <c r="F163" s="1503" t="str">
        <f t="shared" si="0"/>
        <v/>
      </c>
    </row>
    <row r="164" spans="1:6" s="1486" customFormat="1" ht="12">
      <c r="A164" s="1499" t="s">
        <v>3630</v>
      </c>
      <c r="B164" s="1500" t="s">
        <v>3631</v>
      </c>
      <c r="C164" s="1501" t="s">
        <v>2243</v>
      </c>
      <c r="D164" s="1502">
        <v>1</v>
      </c>
      <c r="E164" s="76"/>
      <c r="F164" s="1503" t="str">
        <f t="shared" si="0"/>
        <v/>
      </c>
    </row>
    <row r="165" spans="1:6" s="1486" customFormat="1" ht="48">
      <c r="A165" s="1499" t="s">
        <v>3632</v>
      </c>
      <c r="B165" s="1500" t="s">
        <v>3633</v>
      </c>
      <c r="C165" s="1501" t="s">
        <v>2243</v>
      </c>
      <c r="D165" s="1502">
        <v>2</v>
      </c>
      <c r="E165" s="76"/>
      <c r="F165" s="1503" t="str">
        <f t="shared" si="0"/>
        <v/>
      </c>
    </row>
    <row r="166" spans="1:6" s="1486" customFormat="1" ht="48">
      <c r="A166" s="1499" t="s">
        <v>3634</v>
      </c>
      <c r="B166" s="1500" t="s">
        <v>3635</v>
      </c>
      <c r="C166" s="1501" t="s">
        <v>2243</v>
      </c>
      <c r="D166" s="1502">
        <v>2</v>
      </c>
      <c r="E166" s="76"/>
      <c r="F166" s="1503" t="str">
        <f t="shared" si="0"/>
        <v/>
      </c>
    </row>
    <row r="167" spans="1:6" s="1486" customFormat="1" ht="60">
      <c r="A167" s="1499" t="s">
        <v>3636</v>
      </c>
      <c r="B167" s="1500" t="s">
        <v>3637</v>
      </c>
      <c r="C167" s="1501" t="s">
        <v>2243</v>
      </c>
      <c r="D167" s="1502">
        <v>1</v>
      </c>
      <c r="E167" s="76"/>
      <c r="F167" s="1503" t="str">
        <f t="shared" si="0"/>
        <v/>
      </c>
    </row>
    <row r="168" spans="1:6" s="1486" customFormat="1" ht="60">
      <c r="A168" s="1499" t="s">
        <v>3638</v>
      </c>
      <c r="B168" s="1500" t="s">
        <v>3639</v>
      </c>
      <c r="C168" s="1501" t="s">
        <v>2243</v>
      </c>
      <c r="D168" s="1502">
        <v>2</v>
      </c>
      <c r="E168" s="76"/>
      <c r="F168" s="1503" t="str">
        <f t="shared" si="0"/>
        <v/>
      </c>
    </row>
    <row r="169" spans="1:6" s="1486" customFormat="1" ht="60">
      <c r="A169" s="1499" t="s">
        <v>3640</v>
      </c>
      <c r="B169" s="1500" t="s">
        <v>3641</v>
      </c>
      <c r="C169" s="1501" t="s">
        <v>2243</v>
      </c>
      <c r="D169" s="1502">
        <v>1</v>
      </c>
      <c r="E169" s="76"/>
      <c r="F169" s="1503" t="str">
        <f t="shared" si="0"/>
        <v/>
      </c>
    </row>
    <row r="170" spans="1:6" s="1486" customFormat="1" ht="96">
      <c r="A170" s="1499" t="s">
        <v>3642</v>
      </c>
      <c r="B170" s="1500" t="s">
        <v>3643</v>
      </c>
      <c r="C170" s="1501" t="s">
        <v>2243</v>
      </c>
      <c r="D170" s="1502">
        <v>2</v>
      </c>
      <c r="E170" s="76"/>
      <c r="F170" s="1503" t="str">
        <f t="shared" si="0"/>
        <v/>
      </c>
    </row>
    <row r="171" spans="1:6" s="1486" customFormat="1" ht="129" customHeight="1">
      <c r="A171" s="1499" t="s">
        <v>3644</v>
      </c>
      <c r="B171" s="1500" t="s">
        <v>3645</v>
      </c>
      <c r="C171" s="1501" t="s">
        <v>1160</v>
      </c>
      <c r="D171" s="1502">
        <v>6</v>
      </c>
      <c r="E171" s="76"/>
      <c r="F171" s="1503" t="str">
        <f t="shared" si="0"/>
        <v/>
      </c>
    </row>
    <row r="172" spans="1:6" s="1486" customFormat="1" ht="128.25" customHeight="1">
      <c r="A172" s="1499" t="s">
        <v>3646</v>
      </c>
      <c r="B172" s="1500" t="s">
        <v>3647</v>
      </c>
      <c r="C172" s="1501" t="s">
        <v>1160</v>
      </c>
      <c r="D172" s="1502">
        <v>6</v>
      </c>
      <c r="E172" s="76"/>
      <c r="F172" s="1503" t="str">
        <f t="shared" si="0"/>
        <v/>
      </c>
    </row>
    <row r="173" spans="1:6" s="1486" customFormat="1" ht="144">
      <c r="A173" s="1499" t="s">
        <v>3648</v>
      </c>
      <c r="B173" s="1500" t="s">
        <v>3649</v>
      </c>
      <c r="C173" s="1501" t="s">
        <v>1160</v>
      </c>
      <c r="D173" s="1502">
        <v>6</v>
      </c>
      <c r="E173" s="76"/>
      <c r="F173" s="1503" t="str">
        <f t="shared" si="0"/>
        <v/>
      </c>
    </row>
    <row r="174" spans="1:6" s="1486" customFormat="1" ht="144">
      <c r="A174" s="1499" t="s">
        <v>3650</v>
      </c>
      <c r="B174" s="1500" t="s">
        <v>3651</v>
      </c>
      <c r="C174" s="1501" t="s">
        <v>1160</v>
      </c>
      <c r="D174" s="1502">
        <v>6</v>
      </c>
      <c r="E174" s="76"/>
      <c r="F174" s="1503" t="str">
        <f t="shared" si="0"/>
        <v/>
      </c>
    </row>
    <row r="175" spans="1:6" s="1486" customFormat="1" ht="144">
      <c r="A175" s="1499" t="s">
        <v>3652</v>
      </c>
      <c r="B175" s="1500" t="s">
        <v>3653</v>
      </c>
      <c r="C175" s="1501" t="s">
        <v>1160</v>
      </c>
      <c r="D175" s="1502">
        <v>12</v>
      </c>
      <c r="E175" s="76"/>
      <c r="F175" s="1503" t="str">
        <f t="shared" si="0"/>
        <v/>
      </c>
    </row>
    <row r="176" spans="1:6" s="1486" customFormat="1" ht="144">
      <c r="A176" s="1499" t="s">
        <v>3654</v>
      </c>
      <c r="B176" s="1500" t="s">
        <v>3655</v>
      </c>
      <c r="C176" s="1501" t="s">
        <v>1160</v>
      </c>
      <c r="D176" s="1502">
        <v>42</v>
      </c>
      <c r="E176" s="76"/>
      <c r="F176" s="1503" t="str">
        <f t="shared" si="0"/>
        <v/>
      </c>
    </row>
    <row r="177" spans="1:6" s="1486" customFormat="1" ht="60">
      <c r="A177" s="1499" t="s">
        <v>3656</v>
      </c>
      <c r="B177" s="1500" t="s">
        <v>3657</v>
      </c>
      <c r="C177" s="1501" t="s">
        <v>2243</v>
      </c>
      <c r="D177" s="1502">
        <v>4</v>
      </c>
      <c r="E177" s="76"/>
      <c r="F177" s="1503" t="str">
        <f t="shared" si="0"/>
        <v/>
      </c>
    </row>
    <row r="178" spans="1:6" s="1486" customFormat="1" ht="60">
      <c r="A178" s="1499" t="s">
        <v>3658</v>
      </c>
      <c r="B178" s="1500" t="s">
        <v>3659</v>
      </c>
      <c r="C178" s="1501" t="s">
        <v>2243</v>
      </c>
      <c r="D178" s="1502">
        <v>4</v>
      </c>
      <c r="E178" s="76"/>
      <c r="F178" s="1503" t="str">
        <f t="shared" si="0"/>
        <v/>
      </c>
    </row>
    <row r="179" spans="1:6" s="1486" customFormat="1" ht="60">
      <c r="A179" s="1499" t="s">
        <v>3660</v>
      </c>
      <c r="B179" s="1500" t="s">
        <v>3661</v>
      </c>
      <c r="C179" s="1501" t="s">
        <v>2243</v>
      </c>
      <c r="D179" s="1502">
        <v>4</v>
      </c>
      <c r="E179" s="76"/>
      <c r="F179" s="1503" t="str">
        <f t="shared" si="0"/>
        <v/>
      </c>
    </row>
    <row r="180" spans="1:6" s="1486" customFormat="1" ht="60">
      <c r="A180" s="1499" t="s">
        <v>3662</v>
      </c>
      <c r="B180" s="1500" t="s">
        <v>3663</v>
      </c>
      <c r="C180" s="1501" t="s">
        <v>2243</v>
      </c>
      <c r="D180" s="1502">
        <v>4</v>
      </c>
      <c r="E180" s="76"/>
      <c r="F180" s="1503" t="str">
        <f t="shared" si="0"/>
        <v/>
      </c>
    </row>
    <row r="181" spans="1:6" s="1486" customFormat="1" ht="60">
      <c r="A181" s="1499" t="s">
        <v>3664</v>
      </c>
      <c r="B181" s="1500" t="s">
        <v>3665</v>
      </c>
      <c r="C181" s="1501" t="s">
        <v>2243</v>
      </c>
      <c r="D181" s="1502">
        <v>6</v>
      </c>
      <c r="E181" s="76"/>
      <c r="F181" s="1503" t="str">
        <f t="shared" si="0"/>
        <v/>
      </c>
    </row>
    <row r="182" spans="1:6" s="1486" customFormat="1" ht="60">
      <c r="A182" s="1499" t="s">
        <v>3666</v>
      </c>
      <c r="B182" s="1500" t="s">
        <v>3667</v>
      </c>
      <c r="C182" s="1501" t="s">
        <v>2243</v>
      </c>
      <c r="D182" s="1502">
        <v>20</v>
      </c>
      <c r="E182" s="76"/>
      <c r="F182" s="1503" t="str">
        <f t="shared" si="0"/>
        <v/>
      </c>
    </row>
    <row r="183" spans="1:6" s="1486" customFormat="1" ht="60">
      <c r="A183" s="1499" t="s">
        <v>3668</v>
      </c>
      <c r="B183" s="1500" t="s">
        <v>3669</v>
      </c>
      <c r="C183" s="1501" t="s">
        <v>2243</v>
      </c>
      <c r="D183" s="1502">
        <v>3</v>
      </c>
      <c r="E183" s="76"/>
      <c r="F183" s="1503" t="str">
        <f t="shared" si="0"/>
        <v/>
      </c>
    </row>
    <row r="184" spans="1:6" s="1486" customFormat="1" ht="60">
      <c r="A184" s="1499" t="s">
        <v>3670</v>
      </c>
      <c r="B184" s="1500" t="s">
        <v>3671</v>
      </c>
      <c r="C184" s="1501" t="s">
        <v>2243</v>
      </c>
      <c r="D184" s="1502">
        <v>3</v>
      </c>
      <c r="E184" s="76"/>
      <c r="F184" s="1503" t="str">
        <f t="shared" si="0"/>
        <v/>
      </c>
    </row>
    <row r="185" spans="1:6" s="1486" customFormat="1" ht="12">
      <c r="A185" s="1499" t="s">
        <v>3672</v>
      </c>
      <c r="B185" s="1500" t="s">
        <v>3673</v>
      </c>
      <c r="C185" s="1501" t="s">
        <v>2243</v>
      </c>
      <c r="D185" s="1502">
        <v>1</v>
      </c>
      <c r="E185" s="76"/>
      <c r="F185" s="1503" t="str">
        <f t="shared" si="0"/>
        <v/>
      </c>
    </row>
    <row r="186" spans="1:6" s="1486" customFormat="1" ht="12">
      <c r="A186" s="1499" t="s">
        <v>3674</v>
      </c>
      <c r="B186" s="1500" t="s">
        <v>3675</v>
      </c>
      <c r="C186" s="1501" t="s">
        <v>2243</v>
      </c>
      <c r="D186" s="1502">
        <v>1</v>
      </c>
      <c r="E186" s="76"/>
      <c r="F186" s="1503" t="str">
        <f t="shared" si="0"/>
        <v/>
      </c>
    </row>
    <row r="187" spans="1:6" s="1486" customFormat="1" ht="12">
      <c r="A187" s="1499" t="s">
        <v>3676</v>
      </c>
      <c r="B187" s="1500" t="s">
        <v>3677</v>
      </c>
      <c r="C187" s="1501" t="s">
        <v>2243</v>
      </c>
      <c r="D187" s="1502">
        <v>2</v>
      </c>
      <c r="E187" s="76"/>
      <c r="F187" s="1503" t="str">
        <f t="shared" si="0"/>
        <v/>
      </c>
    </row>
    <row r="188" spans="1:6" s="1486" customFormat="1" ht="24">
      <c r="A188" s="1499" t="s">
        <v>3678</v>
      </c>
      <c r="B188" s="1500" t="s">
        <v>3679</v>
      </c>
      <c r="C188" s="1501" t="s">
        <v>2243</v>
      </c>
      <c r="D188" s="1502">
        <v>1</v>
      </c>
      <c r="E188" s="76"/>
      <c r="F188" s="1503" t="str">
        <f t="shared" si="0"/>
        <v/>
      </c>
    </row>
    <row r="189" spans="1:6" s="1486" customFormat="1" ht="36">
      <c r="A189" s="1499" t="s">
        <v>3680</v>
      </c>
      <c r="B189" s="1500" t="s">
        <v>3681</v>
      </c>
      <c r="C189" s="1501" t="s">
        <v>2243</v>
      </c>
      <c r="D189" s="1502">
        <v>1</v>
      </c>
      <c r="E189" s="76"/>
      <c r="F189" s="1503" t="str">
        <f t="shared" si="0"/>
        <v/>
      </c>
    </row>
    <row r="190" spans="1:6" s="1486" customFormat="1" ht="36">
      <c r="A190" s="1499" t="s">
        <v>3682</v>
      </c>
      <c r="B190" s="1500" t="s">
        <v>3683</v>
      </c>
      <c r="C190" s="1501" t="s">
        <v>2243</v>
      </c>
      <c r="D190" s="1502">
        <v>1</v>
      </c>
      <c r="E190" s="76"/>
      <c r="F190" s="1503" t="str">
        <f t="shared" si="0"/>
        <v/>
      </c>
    </row>
    <row r="191" spans="1:6" s="1486" customFormat="1" ht="12">
      <c r="A191" s="1499" t="s">
        <v>3684</v>
      </c>
      <c r="B191" s="1500" t="s">
        <v>3685</v>
      </c>
      <c r="C191" s="1501" t="s">
        <v>2243</v>
      </c>
      <c r="D191" s="1502">
        <v>1</v>
      </c>
      <c r="E191" s="76"/>
      <c r="F191" s="1503" t="str">
        <f t="shared" si="0"/>
        <v/>
      </c>
    </row>
    <row r="192" spans="1:6" s="1486" customFormat="1" ht="12">
      <c r="A192" s="1499" t="s">
        <v>3686</v>
      </c>
      <c r="B192" s="1500" t="s">
        <v>3687</v>
      </c>
      <c r="C192" s="1501" t="s">
        <v>2243</v>
      </c>
      <c r="D192" s="1502">
        <v>1</v>
      </c>
      <c r="E192" s="76"/>
      <c r="F192" s="1503" t="str">
        <f t="shared" si="0"/>
        <v/>
      </c>
    </row>
    <row r="193" spans="1:6" s="1486" customFormat="1" ht="24">
      <c r="A193" s="1499" t="s">
        <v>3688</v>
      </c>
      <c r="B193" s="1500" t="s">
        <v>3689</v>
      </c>
      <c r="C193" s="1501" t="s">
        <v>2243</v>
      </c>
      <c r="D193" s="1502">
        <v>1</v>
      </c>
      <c r="E193" s="76"/>
      <c r="F193" s="1503" t="str">
        <f t="shared" si="0"/>
        <v/>
      </c>
    </row>
    <row r="194" spans="1:6" s="1486" customFormat="1" ht="12">
      <c r="A194" s="1499" t="s">
        <v>3690</v>
      </c>
      <c r="B194" s="1500" t="s">
        <v>3691</v>
      </c>
      <c r="C194" s="1501" t="s">
        <v>2243</v>
      </c>
      <c r="D194" s="1502">
        <v>1</v>
      </c>
      <c r="E194" s="76"/>
      <c r="F194" s="1503" t="str">
        <f t="shared" si="0"/>
        <v/>
      </c>
    </row>
    <row r="195" spans="1:6" s="1486" customFormat="1" ht="12">
      <c r="A195" s="1499" t="s">
        <v>3692</v>
      </c>
      <c r="B195" s="1500" t="s">
        <v>3693</v>
      </c>
      <c r="C195" s="1501" t="s">
        <v>2243</v>
      </c>
      <c r="D195" s="1502">
        <v>1</v>
      </c>
      <c r="E195" s="76"/>
      <c r="F195" s="1503" t="str">
        <f t="shared" si="0"/>
        <v/>
      </c>
    </row>
    <row r="196" spans="1:6" s="1486" customFormat="1" ht="12">
      <c r="A196" s="1499" t="s">
        <v>3694</v>
      </c>
      <c r="B196" s="1500" t="s">
        <v>3695</v>
      </c>
      <c r="C196" s="1501" t="s">
        <v>2243</v>
      </c>
      <c r="D196" s="1502">
        <v>1</v>
      </c>
      <c r="E196" s="76"/>
      <c r="F196" s="1503" t="str">
        <f t="shared" si="0"/>
        <v/>
      </c>
    </row>
    <row r="197" spans="1:6" s="1486" customFormat="1" ht="24">
      <c r="A197" s="1499" t="s">
        <v>3696</v>
      </c>
      <c r="B197" s="1500" t="s">
        <v>3697</v>
      </c>
      <c r="C197" s="1501" t="s">
        <v>2243</v>
      </c>
      <c r="D197" s="1502">
        <v>1</v>
      </c>
      <c r="E197" s="76"/>
      <c r="F197" s="1503" t="str">
        <f t="shared" si="0"/>
        <v/>
      </c>
    </row>
    <row r="198" spans="1:6" s="1486" customFormat="1" ht="12">
      <c r="A198" s="1499" t="s">
        <v>3698</v>
      </c>
      <c r="B198" s="1500" t="s">
        <v>3699</v>
      </c>
      <c r="C198" s="1501" t="s">
        <v>2243</v>
      </c>
      <c r="D198" s="1502">
        <v>1</v>
      </c>
      <c r="E198" s="76"/>
      <c r="F198" s="1503" t="str">
        <f t="shared" si="0"/>
        <v/>
      </c>
    </row>
    <row r="199" spans="1:6" s="1486" customFormat="1" ht="12">
      <c r="A199" s="1499" t="s">
        <v>3700</v>
      </c>
      <c r="B199" s="1500" t="s">
        <v>3701</v>
      </c>
      <c r="C199" s="1501" t="s">
        <v>2243</v>
      </c>
      <c r="D199" s="1502">
        <v>1</v>
      </c>
      <c r="E199" s="76"/>
      <c r="F199" s="1503" t="str">
        <f t="shared" si="0"/>
        <v/>
      </c>
    </row>
    <row r="200" spans="1:6" s="1486" customFormat="1" ht="12">
      <c r="A200" s="1499" t="s">
        <v>3702</v>
      </c>
      <c r="B200" s="1500" t="s">
        <v>3703</v>
      </c>
      <c r="C200" s="1501" t="s">
        <v>2243</v>
      </c>
      <c r="D200" s="1502">
        <v>1</v>
      </c>
      <c r="E200" s="76"/>
      <c r="F200" s="1503" t="str">
        <f t="shared" si="0"/>
        <v/>
      </c>
    </row>
    <row r="201" spans="1:6" s="1486" customFormat="1">
      <c r="A201" s="1495"/>
      <c r="B201" s="1719"/>
      <c r="C201" s="1719"/>
      <c r="D201" s="1719"/>
      <c r="E201" s="1719"/>
      <c r="F201" s="1465"/>
    </row>
    <row r="202" spans="1:6" s="1498" customFormat="1" ht="12">
      <c r="A202" s="1712" t="s">
        <v>3704</v>
      </c>
      <c r="B202" s="1713"/>
      <c r="C202" s="1713"/>
      <c r="D202" s="1713"/>
      <c r="E202" s="1714"/>
      <c r="F202" s="1504">
        <f>SUM(F151:F201)</f>
        <v>0</v>
      </c>
    </row>
    <row r="203" spans="1:6" s="1486" customFormat="1">
      <c r="A203" s="1469"/>
      <c r="B203" s="1466"/>
      <c r="C203" s="1467"/>
      <c r="D203" s="1468"/>
      <c r="E203" s="1464"/>
      <c r="F203" s="1464"/>
    </row>
    <row r="204" spans="1:6" s="1498" customFormat="1" ht="12">
      <c r="A204" s="1712" t="s">
        <v>3705</v>
      </c>
      <c r="B204" s="1713"/>
      <c r="C204" s="1713"/>
      <c r="D204" s="1713"/>
      <c r="E204" s="1713"/>
      <c r="F204" s="1714"/>
    </row>
    <row r="205" spans="1:6" s="1486" customFormat="1" ht="48">
      <c r="A205" s="1499" t="s">
        <v>604</v>
      </c>
      <c r="B205" s="1500" t="s">
        <v>3706</v>
      </c>
      <c r="C205" s="1501" t="s">
        <v>2243</v>
      </c>
      <c r="D205" s="1502">
        <v>1</v>
      </c>
      <c r="E205" s="76"/>
      <c r="F205" s="1503" t="str">
        <f t="shared" ref="F205:F217" si="1">IF(D205*E205,D205*E205,"")</f>
        <v/>
      </c>
    </row>
    <row r="206" spans="1:6" s="1486" customFormat="1" ht="24">
      <c r="A206" s="1486" t="s">
        <v>603</v>
      </c>
      <c r="B206" s="1500" t="s">
        <v>3707</v>
      </c>
      <c r="C206" s="1501" t="s">
        <v>2243</v>
      </c>
      <c r="D206" s="1502">
        <v>1</v>
      </c>
      <c r="E206" s="76"/>
      <c r="F206" s="1503" t="str">
        <f t="shared" si="1"/>
        <v/>
      </c>
    </row>
    <row r="207" spans="1:6" s="1486" customFormat="1" ht="12">
      <c r="A207" s="1499" t="s">
        <v>607</v>
      </c>
      <c r="B207" s="1500" t="s">
        <v>3708</v>
      </c>
      <c r="C207" s="1501" t="s">
        <v>2243</v>
      </c>
      <c r="D207" s="1502">
        <v>1</v>
      </c>
      <c r="E207" s="76"/>
      <c r="F207" s="1503" t="str">
        <f t="shared" si="1"/>
        <v/>
      </c>
    </row>
    <row r="208" spans="1:6" s="1486" customFormat="1" ht="12">
      <c r="A208" s="1499" t="s">
        <v>989</v>
      </c>
      <c r="B208" s="1500" t="s">
        <v>3709</v>
      </c>
      <c r="C208" s="1501" t="s">
        <v>2243</v>
      </c>
      <c r="D208" s="1502">
        <v>1</v>
      </c>
      <c r="E208" s="76"/>
      <c r="F208" s="1503" t="str">
        <f t="shared" si="1"/>
        <v/>
      </c>
    </row>
    <row r="209" spans="1:6" s="1486" customFormat="1" ht="12">
      <c r="A209" s="1499" t="s">
        <v>990</v>
      </c>
      <c r="B209" s="1500" t="s">
        <v>3710</v>
      </c>
      <c r="C209" s="1501" t="s">
        <v>2243</v>
      </c>
      <c r="D209" s="1502">
        <v>1</v>
      </c>
      <c r="E209" s="76"/>
      <c r="F209" s="1503" t="str">
        <f t="shared" si="1"/>
        <v/>
      </c>
    </row>
    <row r="210" spans="1:6" s="1486" customFormat="1" ht="12">
      <c r="A210" s="1499" t="s">
        <v>2949</v>
      </c>
      <c r="B210" s="1500" t="s">
        <v>3711</v>
      </c>
      <c r="C210" s="1501" t="s">
        <v>1160</v>
      </c>
      <c r="D210" s="1502">
        <v>30</v>
      </c>
      <c r="E210" s="76"/>
      <c r="F210" s="1503" t="str">
        <f t="shared" si="1"/>
        <v/>
      </c>
    </row>
    <row r="211" spans="1:6" s="1486" customFormat="1" ht="12">
      <c r="A211" s="1499" t="s">
        <v>2958</v>
      </c>
      <c r="B211" s="1500" t="s">
        <v>3712</v>
      </c>
      <c r="C211" s="1501" t="s">
        <v>1160</v>
      </c>
      <c r="D211" s="1502">
        <v>25</v>
      </c>
      <c r="E211" s="76"/>
      <c r="F211" s="1503" t="str">
        <f t="shared" si="1"/>
        <v/>
      </c>
    </row>
    <row r="212" spans="1:6" s="1486" customFormat="1" ht="12">
      <c r="A212" s="1499" t="s">
        <v>3713</v>
      </c>
      <c r="B212" s="1500" t="s">
        <v>3714</v>
      </c>
      <c r="C212" s="1501" t="s">
        <v>1160</v>
      </c>
      <c r="D212" s="1502">
        <v>90</v>
      </c>
      <c r="E212" s="76"/>
      <c r="F212" s="1503" t="str">
        <f t="shared" si="1"/>
        <v/>
      </c>
    </row>
    <row r="213" spans="1:6" s="1486" customFormat="1" ht="12">
      <c r="A213" s="1499" t="s">
        <v>3715</v>
      </c>
      <c r="B213" s="1500" t="s">
        <v>3716</v>
      </c>
      <c r="C213" s="1501" t="s">
        <v>1160</v>
      </c>
      <c r="D213" s="1502">
        <v>250</v>
      </c>
      <c r="E213" s="76"/>
      <c r="F213" s="1503" t="str">
        <f t="shared" si="1"/>
        <v/>
      </c>
    </row>
    <row r="214" spans="1:6" s="1486" customFormat="1" ht="24">
      <c r="A214" s="1499" t="s">
        <v>3717</v>
      </c>
      <c r="B214" s="1500" t="s">
        <v>3718</v>
      </c>
      <c r="C214" s="1501" t="s">
        <v>1160</v>
      </c>
      <c r="D214" s="1502">
        <v>16</v>
      </c>
      <c r="E214" s="76"/>
      <c r="F214" s="1503" t="str">
        <f t="shared" si="1"/>
        <v/>
      </c>
    </row>
    <row r="215" spans="1:6" ht="36">
      <c r="A215" s="1499" t="s">
        <v>3719</v>
      </c>
      <c r="B215" s="1500" t="s">
        <v>3720</v>
      </c>
      <c r="C215" s="1501" t="s">
        <v>2243</v>
      </c>
      <c r="D215" s="1502">
        <v>1</v>
      </c>
      <c r="E215" s="76"/>
      <c r="F215" s="1503" t="str">
        <f t="shared" si="1"/>
        <v/>
      </c>
    </row>
    <row r="216" spans="1:6" s="1486" customFormat="1" ht="12">
      <c r="A216" s="1499" t="s">
        <v>3721</v>
      </c>
      <c r="B216" s="1500" t="s">
        <v>3722</v>
      </c>
      <c r="C216" s="1501" t="s">
        <v>2243</v>
      </c>
      <c r="D216" s="1502">
        <v>1</v>
      </c>
      <c r="E216" s="76"/>
      <c r="F216" s="1503" t="str">
        <f t="shared" si="1"/>
        <v/>
      </c>
    </row>
    <row r="217" spans="1:6" s="1486" customFormat="1" ht="12">
      <c r="A217" s="1499" t="s">
        <v>3723</v>
      </c>
      <c r="B217" s="1500" t="s">
        <v>3724</v>
      </c>
      <c r="C217" s="1501" t="s">
        <v>2243</v>
      </c>
      <c r="D217" s="1502">
        <v>1</v>
      </c>
      <c r="E217" s="76"/>
      <c r="F217" s="1503" t="str">
        <f t="shared" si="1"/>
        <v/>
      </c>
    </row>
    <row r="218" spans="1:6" s="1486" customFormat="1">
      <c r="A218" s="1495"/>
      <c r="B218" s="1719"/>
      <c r="C218" s="1719"/>
      <c r="D218" s="1719"/>
      <c r="E218" s="1719"/>
      <c r="F218" s="1465"/>
    </row>
    <row r="219" spans="1:6" s="1498" customFormat="1" ht="12">
      <c r="A219" s="1712" t="s">
        <v>3725</v>
      </c>
      <c r="B219" s="1713"/>
      <c r="C219" s="1713"/>
      <c r="D219" s="1713"/>
      <c r="E219" s="1714"/>
      <c r="F219" s="1504">
        <f>SUM(F205:F217)</f>
        <v>0</v>
      </c>
    </row>
    <row r="220" spans="1:6" s="1486" customFormat="1">
      <c r="A220" s="1469"/>
      <c r="B220" s="1466"/>
      <c r="C220" s="1467"/>
      <c r="D220" s="1468"/>
      <c r="E220" s="1464"/>
      <c r="F220" s="1464"/>
    </row>
    <row r="221" spans="1:6" s="1498" customFormat="1" ht="12">
      <c r="A221" s="1712" t="s">
        <v>3726</v>
      </c>
      <c r="B221" s="1713"/>
      <c r="C221" s="1713"/>
      <c r="D221" s="1713"/>
      <c r="E221" s="1713"/>
      <c r="F221" s="1714"/>
    </row>
    <row r="222" spans="1:6" s="1486" customFormat="1" ht="96">
      <c r="A222" s="1499" t="s">
        <v>2975</v>
      </c>
      <c r="B222" s="1500" t="s">
        <v>3727</v>
      </c>
      <c r="C222" s="1501" t="s">
        <v>34</v>
      </c>
      <c r="D222" s="1502">
        <v>103</v>
      </c>
      <c r="E222" s="76"/>
      <c r="F222" s="1503" t="str">
        <f>IF(D222*E222,D222*E222,"")</f>
        <v/>
      </c>
    </row>
    <row r="223" spans="1:6" s="1486" customFormat="1" ht="96">
      <c r="A223" s="1499" t="s">
        <v>3003</v>
      </c>
      <c r="B223" s="1500" t="s">
        <v>3728</v>
      </c>
      <c r="C223" s="1501" t="s">
        <v>34</v>
      </c>
      <c r="D223" s="1502">
        <v>103</v>
      </c>
      <c r="E223" s="76"/>
      <c r="F223" s="1503" t="str">
        <f t="shared" ref="F223:F244" si="2">IF(D223*E223,D223*E223,"")</f>
        <v/>
      </c>
    </row>
    <row r="224" spans="1:6" s="1486" customFormat="1" ht="96">
      <c r="A224" s="1499" t="s">
        <v>3012</v>
      </c>
      <c r="B224" s="1500" t="s">
        <v>3729</v>
      </c>
      <c r="C224" s="1501" t="s">
        <v>2632</v>
      </c>
      <c r="D224" s="1502">
        <v>103</v>
      </c>
      <c r="E224" s="76"/>
      <c r="F224" s="1503" t="str">
        <f t="shared" si="2"/>
        <v/>
      </c>
    </row>
    <row r="225" spans="1:6" s="1486" customFormat="1" ht="36">
      <c r="A225" s="1499" t="s">
        <v>3022</v>
      </c>
      <c r="B225" s="1500" t="s">
        <v>3730</v>
      </c>
      <c r="C225" s="1501" t="s">
        <v>2632</v>
      </c>
      <c r="D225" s="1502">
        <v>6</v>
      </c>
      <c r="E225" s="76"/>
      <c r="F225" s="1503" t="str">
        <f t="shared" si="2"/>
        <v/>
      </c>
    </row>
    <row r="226" spans="1:6" s="1486" customFormat="1" ht="48">
      <c r="A226" s="1499" t="s">
        <v>3033</v>
      </c>
      <c r="B226" s="1500" t="s">
        <v>3731</v>
      </c>
      <c r="C226" s="1501" t="s">
        <v>2632</v>
      </c>
      <c r="D226" s="1502">
        <v>103</v>
      </c>
      <c r="E226" s="76"/>
      <c r="F226" s="1503" t="str">
        <f t="shared" si="2"/>
        <v/>
      </c>
    </row>
    <row r="227" spans="1:6" s="1486" customFormat="1" ht="12">
      <c r="A227" s="1499" t="s">
        <v>3596</v>
      </c>
      <c r="B227" s="1500" t="s">
        <v>3732</v>
      </c>
      <c r="C227" s="1501" t="s">
        <v>2632</v>
      </c>
      <c r="D227" s="1502">
        <v>1</v>
      </c>
      <c r="E227" s="76"/>
      <c r="F227" s="1503" t="str">
        <f t="shared" si="2"/>
        <v/>
      </c>
    </row>
    <row r="228" spans="1:6" s="1486" customFormat="1" ht="264">
      <c r="A228" s="1499" t="s">
        <v>3598</v>
      </c>
      <c r="B228" s="1500" t="s">
        <v>3733</v>
      </c>
      <c r="C228" s="1501" t="s">
        <v>2632</v>
      </c>
      <c r="D228" s="1502">
        <v>6</v>
      </c>
      <c r="E228" s="76"/>
      <c r="F228" s="1503" t="str">
        <f t="shared" si="2"/>
        <v/>
      </c>
    </row>
    <row r="229" spans="1:6" s="1486" customFormat="1" ht="144">
      <c r="A229" s="1499" t="s">
        <v>3734</v>
      </c>
      <c r="B229" s="1500" t="s">
        <v>3735</v>
      </c>
      <c r="C229" s="1501" t="s">
        <v>1160</v>
      </c>
      <c r="D229" s="1502">
        <v>18</v>
      </c>
      <c r="E229" s="76"/>
      <c r="F229" s="1503" t="str">
        <f t="shared" si="2"/>
        <v/>
      </c>
    </row>
    <row r="230" spans="1:6" s="1486" customFormat="1" ht="144">
      <c r="A230" s="1499" t="s">
        <v>3736</v>
      </c>
      <c r="B230" s="1500" t="s">
        <v>3737</v>
      </c>
      <c r="C230" s="1501" t="s">
        <v>1160</v>
      </c>
      <c r="D230" s="1502">
        <v>180</v>
      </c>
      <c r="E230" s="76"/>
      <c r="F230" s="1503" t="str">
        <f t="shared" si="2"/>
        <v/>
      </c>
    </row>
    <row r="231" spans="1:6" s="1486" customFormat="1" ht="144">
      <c r="A231" s="1499" t="s">
        <v>3738</v>
      </c>
      <c r="B231" s="1500" t="s">
        <v>3649</v>
      </c>
      <c r="C231" s="1501" t="s">
        <v>1160</v>
      </c>
      <c r="D231" s="1502">
        <v>114</v>
      </c>
      <c r="E231" s="76"/>
      <c r="F231" s="1503" t="str">
        <f t="shared" si="2"/>
        <v/>
      </c>
    </row>
    <row r="232" spans="1:6" s="1486" customFormat="1" ht="144">
      <c r="A232" s="1499" t="s">
        <v>3739</v>
      </c>
      <c r="B232" s="1500" t="s">
        <v>3651</v>
      </c>
      <c r="C232" s="1501" t="s">
        <v>1160</v>
      </c>
      <c r="D232" s="1502">
        <v>90</v>
      </c>
      <c r="E232" s="76"/>
      <c r="F232" s="1503" t="str">
        <f t="shared" si="2"/>
        <v/>
      </c>
    </row>
    <row r="233" spans="1:6" s="1486" customFormat="1" ht="60">
      <c r="A233" s="1499" t="s">
        <v>3740</v>
      </c>
      <c r="B233" s="1500" t="s">
        <v>3741</v>
      </c>
      <c r="C233" s="1501" t="s">
        <v>2243</v>
      </c>
      <c r="D233" s="1502">
        <v>10</v>
      </c>
      <c r="E233" s="76"/>
      <c r="F233" s="1503" t="str">
        <f t="shared" si="2"/>
        <v/>
      </c>
    </row>
    <row r="234" spans="1:6" s="1486" customFormat="1" ht="60">
      <c r="A234" s="1499" t="s">
        <v>3742</v>
      </c>
      <c r="B234" s="1500" t="s">
        <v>3743</v>
      </c>
      <c r="C234" s="1501" t="s">
        <v>2243</v>
      </c>
      <c r="D234" s="1502">
        <v>80</v>
      </c>
      <c r="E234" s="76"/>
      <c r="F234" s="1503" t="str">
        <f t="shared" si="2"/>
        <v/>
      </c>
    </row>
    <row r="235" spans="1:6" s="1486" customFormat="1" ht="60">
      <c r="A235" s="1499" t="s">
        <v>3744</v>
      </c>
      <c r="B235" s="1500" t="s">
        <v>3661</v>
      </c>
      <c r="C235" s="1501" t="s">
        <v>2243</v>
      </c>
      <c r="D235" s="1502">
        <v>50</v>
      </c>
      <c r="E235" s="76"/>
      <c r="F235" s="1503" t="str">
        <f t="shared" si="2"/>
        <v/>
      </c>
    </row>
    <row r="236" spans="1:6" s="1486" customFormat="1" ht="60">
      <c r="A236" s="1499" t="s">
        <v>3745</v>
      </c>
      <c r="B236" s="1500" t="s">
        <v>3663</v>
      </c>
      <c r="C236" s="1501" t="s">
        <v>2243</v>
      </c>
      <c r="D236" s="1502">
        <v>40</v>
      </c>
      <c r="E236" s="76"/>
      <c r="F236" s="1503" t="str">
        <f t="shared" si="2"/>
        <v/>
      </c>
    </row>
    <row r="237" spans="1:6" s="1486" customFormat="1" ht="72">
      <c r="A237" s="1499" t="s">
        <v>3746</v>
      </c>
      <c r="B237" s="1500" t="s">
        <v>3747</v>
      </c>
      <c r="C237" s="1501" t="s">
        <v>2243</v>
      </c>
      <c r="D237" s="1502">
        <v>1</v>
      </c>
      <c r="E237" s="76"/>
      <c r="F237" s="1503" t="str">
        <f t="shared" si="2"/>
        <v/>
      </c>
    </row>
    <row r="238" spans="1:6" s="1486" customFormat="1" ht="12">
      <c r="A238" s="1499" t="s">
        <v>3748</v>
      </c>
      <c r="B238" s="1500" t="s">
        <v>3749</v>
      </c>
      <c r="C238" s="1501" t="s">
        <v>2243</v>
      </c>
      <c r="D238" s="1502">
        <v>1</v>
      </c>
      <c r="E238" s="76"/>
      <c r="F238" s="1503" t="str">
        <f t="shared" si="2"/>
        <v/>
      </c>
    </row>
    <row r="239" spans="1:6" s="1486" customFormat="1" ht="36">
      <c r="A239" s="1499" t="s">
        <v>3750</v>
      </c>
      <c r="B239" s="1500" t="s">
        <v>3681</v>
      </c>
      <c r="C239" s="1501" t="s">
        <v>2243</v>
      </c>
      <c r="D239" s="1502">
        <v>1</v>
      </c>
      <c r="E239" s="76"/>
      <c r="F239" s="1503" t="str">
        <f t="shared" si="2"/>
        <v/>
      </c>
    </row>
    <row r="240" spans="1:6" ht="36">
      <c r="A240" s="1499" t="s">
        <v>3751</v>
      </c>
      <c r="B240" s="1500" t="s">
        <v>3683</v>
      </c>
      <c r="C240" s="1501" t="s">
        <v>2243</v>
      </c>
      <c r="D240" s="1502">
        <v>1</v>
      </c>
      <c r="E240" s="76"/>
      <c r="F240" s="1503" t="str">
        <f t="shared" si="2"/>
        <v/>
      </c>
    </row>
    <row r="241" spans="1:6" s="1486" customFormat="1" ht="12">
      <c r="A241" s="1499" t="s">
        <v>3752</v>
      </c>
      <c r="B241" s="1500" t="s">
        <v>3685</v>
      </c>
      <c r="C241" s="1501" t="s">
        <v>2243</v>
      </c>
      <c r="D241" s="1502">
        <v>1</v>
      </c>
      <c r="E241" s="76"/>
      <c r="F241" s="1503" t="str">
        <f t="shared" si="2"/>
        <v/>
      </c>
    </row>
    <row r="242" spans="1:6">
      <c r="A242" s="1499" t="s">
        <v>3753</v>
      </c>
      <c r="B242" s="1500" t="s">
        <v>3687</v>
      </c>
      <c r="C242" s="1501" t="s">
        <v>2243</v>
      </c>
      <c r="D242" s="1502">
        <v>1</v>
      </c>
      <c r="E242" s="76"/>
      <c r="F242" s="1503" t="str">
        <f t="shared" si="2"/>
        <v/>
      </c>
    </row>
    <row r="243" spans="1:6">
      <c r="A243" s="1499" t="s">
        <v>3754</v>
      </c>
      <c r="B243" s="1500" t="s">
        <v>3691</v>
      </c>
      <c r="C243" s="1501" t="s">
        <v>2243</v>
      </c>
      <c r="D243" s="1502">
        <v>1</v>
      </c>
      <c r="E243" s="76"/>
      <c r="F243" s="1503" t="str">
        <f t="shared" si="2"/>
        <v/>
      </c>
    </row>
    <row r="244" spans="1:6">
      <c r="A244" s="1499" t="s">
        <v>3755</v>
      </c>
      <c r="B244" s="1500" t="s">
        <v>3756</v>
      </c>
      <c r="C244" s="1501" t="s">
        <v>2243</v>
      </c>
      <c r="D244" s="1502">
        <v>1</v>
      </c>
      <c r="E244" s="76"/>
      <c r="F244" s="1503" t="str">
        <f t="shared" si="2"/>
        <v/>
      </c>
    </row>
    <row r="245" spans="1:6" s="1486" customFormat="1">
      <c r="A245" s="1495"/>
      <c r="B245" s="1719"/>
      <c r="C245" s="1719"/>
      <c r="D245" s="1719"/>
      <c r="E245" s="1719"/>
      <c r="F245" s="1465"/>
    </row>
    <row r="246" spans="1:6" s="1498" customFormat="1" ht="12">
      <c r="A246" s="1712" t="s">
        <v>3757</v>
      </c>
      <c r="B246" s="1713"/>
      <c r="C246" s="1713"/>
      <c r="D246" s="1713"/>
      <c r="E246" s="1714"/>
      <c r="F246" s="1504">
        <f>SUM(F222:F244)</f>
        <v>0</v>
      </c>
    </row>
    <row r="248" spans="1:6" s="1486" customFormat="1" ht="12">
      <c r="A248" s="1712" t="s">
        <v>3758</v>
      </c>
      <c r="B248" s="1713"/>
      <c r="C248" s="1713"/>
      <c r="D248" s="1713"/>
      <c r="E248" s="1713"/>
      <c r="F248" s="1714"/>
    </row>
    <row r="249" spans="1:6" ht="72">
      <c r="A249" s="1505" t="s">
        <v>3083</v>
      </c>
      <c r="B249" s="1500" t="s">
        <v>3759</v>
      </c>
      <c r="C249" s="1501" t="s">
        <v>2632</v>
      </c>
      <c r="D249" s="1502">
        <v>2</v>
      </c>
      <c r="E249" s="76"/>
      <c r="F249" s="1503" t="str">
        <f t="shared" ref="F249:F284" si="3">IF(D249*E249,D249*E249,"")</f>
        <v/>
      </c>
    </row>
    <row r="250" spans="1:6" ht="72">
      <c r="A250" s="1499" t="s">
        <v>3105</v>
      </c>
      <c r="B250" s="1500" t="s">
        <v>3760</v>
      </c>
      <c r="C250" s="1501" t="s">
        <v>2632</v>
      </c>
      <c r="D250" s="1502">
        <v>1</v>
      </c>
      <c r="E250" s="76"/>
      <c r="F250" s="1503" t="str">
        <f t="shared" si="3"/>
        <v/>
      </c>
    </row>
    <row r="251" spans="1:6" ht="72">
      <c r="A251" s="1499" t="s">
        <v>3115</v>
      </c>
      <c r="B251" s="1500" t="s">
        <v>3761</v>
      </c>
      <c r="C251" s="1501" t="s">
        <v>2632</v>
      </c>
      <c r="D251" s="1502">
        <v>1</v>
      </c>
      <c r="E251" s="76"/>
      <c r="F251" s="1503" t="str">
        <f t="shared" si="3"/>
        <v/>
      </c>
    </row>
    <row r="252" spans="1:6" ht="72">
      <c r="A252" s="1499" t="s">
        <v>3127</v>
      </c>
      <c r="B252" s="1500" t="s">
        <v>3762</v>
      </c>
      <c r="C252" s="1501" t="s">
        <v>2632</v>
      </c>
      <c r="D252" s="1502">
        <v>1</v>
      </c>
      <c r="E252" s="76"/>
      <c r="F252" s="1503" t="str">
        <f t="shared" si="3"/>
        <v/>
      </c>
    </row>
    <row r="253" spans="1:6" ht="72">
      <c r="A253" s="1499" t="s">
        <v>3605</v>
      </c>
      <c r="B253" s="1500" t="s">
        <v>3763</v>
      </c>
      <c r="C253" s="1501" t="s">
        <v>2632</v>
      </c>
      <c r="D253" s="1502">
        <v>1</v>
      </c>
      <c r="E253" s="76"/>
      <c r="F253" s="1503" t="str">
        <f t="shared" si="3"/>
        <v/>
      </c>
    </row>
    <row r="254" spans="1:6" ht="72">
      <c r="A254" s="1499" t="s">
        <v>3607</v>
      </c>
      <c r="B254" s="1500" t="s">
        <v>3764</v>
      </c>
      <c r="C254" s="1501" t="s">
        <v>2632</v>
      </c>
      <c r="D254" s="1502">
        <v>1</v>
      </c>
      <c r="E254" s="76"/>
      <c r="F254" s="1503" t="str">
        <f t="shared" si="3"/>
        <v/>
      </c>
    </row>
    <row r="255" spans="1:6" ht="48">
      <c r="A255" s="1499" t="s">
        <v>3609</v>
      </c>
      <c r="B255" s="1500" t="s">
        <v>3765</v>
      </c>
      <c r="C255" s="1501" t="s">
        <v>2632</v>
      </c>
      <c r="D255" s="1502">
        <v>8</v>
      </c>
      <c r="E255" s="76"/>
      <c r="F255" s="1503" t="str">
        <f t="shared" si="3"/>
        <v/>
      </c>
    </row>
    <row r="256" spans="1:6" ht="48">
      <c r="A256" s="1499" t="s">
        <v>3766</v>
      </c>
      <c r="B256" s="1500" t="s">
        <v>3767</v>
      </c>
      <c r="C256" s="1501" t="s">
        <v>2632</v>
      </c>
      <c r="D256" s="1502">
        <v>6</v>
      </c>
      <c r="E256" s="76"/>
      <c r="F256" s="1503" t="str">
        <f t="shared" si="3"/>
        <v/>
      </c>
    </row>
    <row r="257" spans="1:6">
      <c r="A257" s="1499" t="s">
        <v>3768</v>
      </c>
      <c r="B257" s="1500" t="s">
        <v>3769</v>
      </c>
      <c r="C257" s="1501" t="s">
        <v>3770</v>
      </c>
      <c r="D257" s="1502">
        <v>7</v>
      </c>
      <c r="E257" s="76"/>
      <c r="F257" s="1503" t="str">
        <f t="shared" si="3"/>
        <v/>
      </c>
    </row>
    <row r="258" spans="1:6">
      <c r="A258" s="1499" t="s">
        <v>3771</v>
      </c>
      <c r="B258" s="1500" t="s">
        <v>3772</v>
      </c>
      <c r="C258" s="1501" t="s">
        <v>3770</v>
      </c>
      <c r="D258" s="1502">
        <v>7</v>
      </c>
      <c r="E258" s="76"/>
      <c r="F258" s="1503" t="str">
        <f t="shared" si="3"/>
        <v/>
      </c>
    </row>
    <row r="259" spans="1:6">
      <c r="A259" s="1499" t="s">
        <v>3773</v>
      </c>
      <c r="B259" s="1506" t="s">
        <v>3774</v>
      </c>
      <c r="C259" s="1501" t="s">
        <v>3770</v>
      </c>
      <c r="D259" s="1502">
        <v>7</v>
      </c>
      <c r="E259" s="76"/>
      <c r="F259" s="1503" t="str">
        <f t="shared" si="3"/>
        <v/>
      </c>
    </row>
    <row r="260" spans="1:6" s="1486" customFormat="1" ht="12">
      <c r="A260" s="1499" t="s">
        <v>3775</v>
      </c>
      <c r="B260" s="1506" t="s">
        <v>3776</v>
      </c>
      <c r="C260" s="1501" t="s">
        <v>3770</v>
      </c>
      <c r="D260" s="1502">
        <v>7</v>
      </c>
      <c r="E260" s="76"/>
      <c r="F260" s="1503" t="str">
        <f t="shared" si="3"/>
        <v/>
      </c>
    </row>
    <row r="261" spans="1:6" ht="12.75" customHeight="1">
      <c r="A261" s="1499" t="s">
        <v>3777</v>
      </c>
      <c r="B261" s="1506" t="s">
        <v>3778</v>
      </c>
      <c r="C261" s="1501" t="s">
        <v>2632</v>
      </c>
      <c r="D261" s="1502">
        <v>7</v>
      </c>
      <c r="E261" s="76"/>
      <c r="F261" s="1503" t="str">
        <f t="shared" si="3"/>
        <v/>
      </c>
    </row>
    <row r="262" spans="1:6">
      <c r="A262" s="1499" t="s">
        <v>3779</v>
      </c>
      <c r="B262" s="1506" t="s">
        <v>3780</v>
      </c>
      <c r="C262" s="1501" t="s">
        <v>2632</v>
      </c>
      <c r="D262" s="1502">
        <v>14</v>
      </c>
      <c r="E262" s="76"/>
      <c r="F262" s="1503" t="str">
        <f t="shared" si="3"/>
        <v/>
      </c>
    </row>
    <row r="263" spans="1:6">
      <c r="A263" s="1499" t="s">
        <v>3781</v>
      </c>
      <c r="B263" s="1500" t="s">
        <v>3782</v>
      </c>
      <c r="C263" s="1501" t="s">
        <v>3770</v>
      </c>
      <c r="D263" s="1502">
        <v>11</v>
      </c>
      <c r="E263" s="76"/>
      <c r="F263" s="1503" t="str">
        <f t="shared" si="3"/>
        <v/>
      </c>
    </row>
    <row r="264" spans="1:6" ht="36">
      <c r="A264" s="1499" t="s">
        <v>3783</v>
      </c>
      <c r="B264" s="1500" t="s">
        <v>3784</v>
      </c>
      <c r="C264" s="1501" t="s">
        <v>2632</v>
      </c>
      <c r="D264" s="1502">
        <v>7</v>
      </c>
      <c r="E264" s="76"/>
      <c r="F264" s="1503" t="str">
        <f t="shared" si="3"/>
        <v/>
      </c>
    </row>
    <row r="265" spans="1:6" ht="120">
      <c r="A265" s="1499" t="s">
        <v>3785</v>
      </c>
      <c r="B265" s="1500" t="s">
        <v>3786</v>
      </c>
      <c r="C265" s="1501" t="s">
        <v>1160</v>
      </c>
      <c r="D265" s="1502">
        <v>126</v>
      </c>
      <c r="E265" s="76"/>
      <c r="F265" s="1503" t="str">
        <f t="shared" si="3"/>
        <v/>
      </c>
    </row>
    <row r="266" spans="1:6" ht="120">
      <c r="A266" s="1499" t="s">
        <v>3787</v>
      </c>
      <c r="B266" s="1500" t="s">
        <v>3788</v>
      </c>
      <c r="C266" s="1501" t="s">
        <v>1160</v>
      </c>
      <c r="D266" s="1502">
        <v>102</v>
      </c>
      <c r="E266" s="76"/>
      <c r="F266" s="1503" t="str">
        <f t="shared" si="3"/>
        <v/>
      </c>
    </row>
    <row r="267" spans="1:6" ht="48">
      <c r="A267" s="1505" t="s">
        <v>3789</v>
      </c>
      <c r="B267" s="1500" t="s">
        <v>3790</v>
      </c>
      <c r="C267" s="1501" t="s">
        <v>2632</v>
      </c>
      <c r="D267" s="1502">
        <v>60</v>
      </c>
      <c r="E267" s="76"/>
      <c r="F267" s="1503" t="str">
        <f t="shared" si="3"/>
        <v/>
      </c>
    </row>
    <row r="268" spans="1:6" ht="48">
      <c r="A268" s="1505" t="s">
        <v>3791</v>
      </c>
      <c r="B268" s="1500" t="s">
        <v>3792</v>
      </c>
      <c r="C268" s="1501" t="s">
        <v>2632</v>
      </c>
      <c r="D268" s="1502">
        <v>50</v>
      </c>
      <c r="E268" s="76"/>
      <c r="F268" s="1503" t="str">
        <f t="shared" si="3"/>
        <v/>
      </c>
    </row>
    <row r="269" spans="1:6" ht="60">
      <c r="A269" s="1505" t="s">
        <v>3793</v>
      </c>
      <c r="B269" s="1500" t="s">
        <v>3794</v>
      </c>
      <c r="C269" s="1501" t="s">
        <v>2632</v>
      </c>
      <c r="D269" s="1502">
        <v>3</v>
      </c>
      <c r="E269" s="76"/>
      <c r="F269" s="1503" t="str">
        <f t="shared" si="3"/>
        <v/>
      </c>
    </row>
    <row r="270" spans="1:6" ht="60">
      <c r="A270" s="1505" t="s">
        <v>3795</v>
      </c>
      <c r="B270" s="1500" t="s">
        <v>3796</v>
      </c>
      <c r="C270" s="1501" t="s">
        <v>2632</v>
      </c>
      <c r="D270" s="1502">
        <v>1</v>
      </c>
      <c r="E270" s="76"/>
      <c r="F270" s="1503" t="str">
        <f t="shared" si="3"/>
        <v/>
      </c>
    </row>
    <row r="271" spans="1:6" ht="72">
      <c r="A271" s="1505" t="s">
        <v>3797</v>
      </c>
      <c r="B271" s="1500" t="s">
        <v>3798</v>
      </c>
      <c r="C271" s="1501" t="s">
        <v>2632</v>
      </c>
      <c r="D271" s="1502">
        <v>1</v>
      </c>
      <c r="E271" s="76"/>
      <c r="F271" s="1503" t="str">
        <f t="shared" si="3"/>
        <v/>
      </c>
    </row>
    <row r="272" spans="1:6">
      <c r="A272" s="1505" t="s">
        <v>3799</v>
      </c>
      <c r="B272" s="1500" t="s">
        <v>3800</v>
      </c>
      <c r="C272" s="1501" t="s">
        <v>2632</v>
      </c>
      <c r="D272" s="1502">
        <v>1</v>
      </c>
      <c r="E272" s="76"/>
      <c r="F272" s="1503" t="str">
        <f t="shared" si="3"/>
        <v/>
      </c>
    </row>
    <row r="273" spans="1:6">
      <c r="A273" s="1505" t="s">
        <v>3801</v>
      </c>
      <c r="B273" s="1500" t="s">
        <v>3802</v>
      </c>
      <c r="C273" s="1501" t="s">
        <v>1160</v>
      </c>
      <c r="D273" s="1502">
        <v>60</v>
      </c>
      <c r="E273" s="76"/>
      <c r="F273" s="1503" t="str">
        <f t="shared" si="3"/>
        <v/>
      </c>
    </row>
    <row r="274" spans="1:6" ht="24">
      <c r="A274" s="1499" t="s">
        <v>3803</v>
      </c>
      <c r="B274" s="1500" t="s">
        <v>3804</v>
      </c>
      <c r="C274" s="1501" t="s">
        <v>3770</v>
      </c>
      <c r="D274" s="1502">
        <v>18</v>
      </c>
      <c r="E274" s="76"/>
      <c r="F274" s="1503" t="str">
        <f t="shared" si="3"/>
        <v/>
      </c>
    </row>
    <row r="275" spans="1:6">
      <c r="A275" s="1499" t="s">
        <v>3805</v>
      </c>
      <c r="B275" s="1500" t="s">
        <v>3806</v>
      </c>
      <c r="C275" s="1501" t="s">
        <v>3770</v>
      </c>
      <c r="D275" s="1502">
        <v>2</v>
      </c>
      <c r="E275" s="76"/>
      <c r="F275" s="1503" t="str">
        <f t="shared" si="3"/>
        <v/>
      </c>
    </row>
    <row r="276" spans="1:6" ht="24">
      <c r="A276" s="1499" t="s">
        <v>3807</v>
      </c>
      <c r="B276" s="1500" t="s">
        <v>3808</v>
      </c>
      <c r="C276" s="1501" t="s">
        <v>3770</v>
      </c>
      <c r="D276" s="1502">
        <v>7</v>
      </c>
      <c r="E276" s="76"/>
      <c r="F276" s="1503" t="str">
        <f t="shared" si="3"/>
        <v/>
      </c>
    </row>
    <row r="277" spans="1:6">
      <c r="A277" s="1499" t="s">
        <v>3809</v>
      </c>
      <c r="B277" s="1500" t="s">
        <v>3810</v>
      </c>
      <c r="C277" s="1501" t="s">
        <v>2632</v>
      </c>
      <c r="D277" s="1502">
        <v>1</v>
      </c>
      <c r="E277" s="76"/>
      <c r="F277" s="1503" t="str">
        <f t="shared" si="3"/>
        <v/>
      </c>
    </row>
    <row r="278" spans="1:6" ht="24">
      <c r="A278" s="1499" t="s">
        <v>3811</v>
      </c>
      <c r="B278" s="1500" t="s">
        <v>3812</v>
      </c>
      <c r="C278" s="1501" t="s">
        <v>2632</v>
      </c>
      <c r="D278" s="1502">
        <v>1</v>
      </c>
      <c r="E278" s="76"/>
      <c r="F278" s="1503" t="str">
        <f t="shared" si="3"/>
        <v/>
      </c>
    </row>
    <row r="279" spans="1:6" ht="24">
      <c r="A279" s="1499" t="s">
        <v>3813</v>
      </c>
      <c r="B279" s="1500" t="s">
        <v>3814</v>
      </c>
      <c r="C279" s="1501" t="s">
        <v>3770</v>
      </c>
      <c r="D279" s="1502">
        <v>7</v>
      </c>
      <c r="E279" s="76"/>
      <c r="F279" s="1503" t="str">
        <f t="shared" si="3"/>
        <v/>
      </c>
    </row>
    <row r="280" spans="1:6">
      <c r="A280" s="1499" t="s">
        <v>3815</v>
      </c>
      <c r="B280" s="1500" t="s">
        <v>3816</v>
      </c>
      <c r="C280" s="1501" t="s">
        <v>3770</v>
      </c>
      <c r="D280" s="1502">
        <v>7</v>
      </c>
      <c r="E280" s="76"/>
      <c r="F280" s="1503" t="str">
        <f t="shared" si="3"/>
        <v/>
      </c>
    </row>
    <row r="281" spans="1:6" ht="36">
      <c r="A281" s="1499" t="s">
        <v>3817</v>
      </c>
      <c r="B281" s="1500" t="s">
        <v>3818</v>
      </c>
      <c r="C281" s="1501" t="s">
        <v>3770</v>
      </c>
      <c r="D281" s="1502">
        <v>7</v>
      </c>
      <c r="E281" s="76"/>
      <c r="F281" s="1503" t="str">
        <f t="shared" si="3"/>
        <v/>
      </c>
    </row>
    <row r="282" spans="1:6" ht="36">
      <c r="A282" s="1499" t="s">
        <v>3819</v>
      </c>
      <c r="B282" s="1500" t="s">
        <v>3820</v>
      </c>
      <c r="C282" s="1501" t="s">
        <v>3770</v>
      </c>
      <c r="D282" s="1502">
        <v>1</v>
      </c>
      <c r="E282" s="76"/>
      <c r="F282" s="1503" t="str">
        <f t="shared" si="3"/>
        <v/>
      </c>
    </row>
    <row r="283" spans="1:6">
      <c r="A283" s="1499" t="s">
        <v>3821</v>
      </c>
      <c r="B283" s="1500" t="s">
        <v>3822</v>
      </c>
      <c r="C283" s="1501" t="s">
        <v>3770</v>
      </c>
      <c r="D283" s="1502">
        <v>1</v>
      </c>
      <c r="E283" s="76"/>
      <c r="F283" s="1503" t="str">
        <f t="shared" si="3"/>
        <v/>
      </c>
    </row>
    <row r="284" spans="1:6">
      <c r="A284" s="1499" t="s">
        <v>3823</v>
      </c>
      <c r="B284" s="1500" t="s">
        <v>3824</v>
      </c>
      <c r="C284" s="1501" t="s">
        <v>2632</v>
      </c>
      <c r="D284" s="1502">
        <v>1</v>
      </c>
      <c r="E284" s="76"/>
      <c r="F284" s="1503" t="str">
        <f t="shared" si="3"/>
        <v/>
      </c>
    </row>
    <row r="285" spans="1:6">
      <c r="A285" s="1709"/>
      <c r="B285" s="1710"/>
      <c r="C285" s="1710"/>
      <c r="D285" s="1710"/>
      <c r="E285" s="1710"/>
      <c r="F285" s="1711"/>
    </row>
    <row r="286" spans="1:6" s="1507" customFormat="1">
      <c r="A286" s="1712" t="s">
        <v>3825</v>
      </c>
      <c r="B286" s="1713"/>
      <c r="C286" s="1713"/>
      <c r="D286" s="1713"/>
      <c r="E286" s="1714"/>
      <c r="F286" s="1504">
        <f>SUM(F249:F284)</f>
        <v>0</v>
      </c>
    </row>
    <row r="287" spans="1:6">
      <c r="A287" s="1710"/>
      <c r="B287" s="1710"/>
      <c r="C287" s="1710"/>
      <c r="D287" s="1710"/>
      <c r="E287" s="1710"/>
      <c r="F287" s="1711"/>
    </row>
    <row r="288" spans="1:6" s="1507" customFormat="1">
      <c r="A288" s="1712" t="s">
        <v>3826</v>
      </c>
      <c r="B288" s="1713"/>
      <c r="C288" s="1713"/>
      <c r="D288" s="1713"/>
      <c r="E288" s="1713"/>
      <c r="F288" s="1714"/>
    </row>
    <row r="289" spans="1:6" ht="72">
      <c r="A289" s="1505" t="s">
        <v>3152</v>
      </c>
      <c r="B289" s="1500" t="s">
        <v>3827</v>
      </c>
      <c r="C289" s="1501" t="s">
        <v>2632</v>
      </c>
      <c r="D289" s="1502">
        <v>7</v>
      </c>
      <c r="E289" s="76"/>
      <c r="F289" s="1503" t="str">
        <f t="shared" ref="F289:F301" si="4">IF(D289*E289,D289*E289,"")</f>
        <v/>
      </c>
    </row>
    <row r="290" spans="1:6">
      <c r="A290" s="1499" t="s">
        <v>3155</v>
      </c>
      <c r="B290" s="1500" t="s">
        <v>3828</v>
      </c>
      <c r="C290" s="1501" t="s">
        <v>3770</v>
      </c>
      <c r="D290" s="1502">
        <v>14</v>
      </c>
      <c r="E290" s="76"/>
      <c r="F290" s="1503" t="str">
        <f t="shared" si="4"/>
        <v/>
      </c>
    </row>
    <row r="291" spans="1:6">
      <c r="A291" s="1505" t="s">
        <v>3169</v>
      </c>
      <c r="B291" s="1500" t="s">
        <v>3829</v>
      </c>
      <c r="C291" s="1501" t="s">
        <v>2632</v>
      </c>
      <c r="D291" s="1502">
        <v>22</v>
      </c>
      <c r="E291" s="76"/>
      <c r="F291" s="1503" t="str">
        <f t="shared" si="4"/>
        <v/>
      </c>
    </row>
    <row r="292" spans="1:6" ht="36">
      <c r="A292" s="1505" t="s">
        <v>3186</v>
      </c>
      <c r="B292" s="1500" t="s">
        <v>3830</v>
      </c>
      <c r="C292" s="1501" t="s">
        <v>2632</v>
      </c>
      <c r="D292" s="1502">
        <v>7</v>
      </c>
      <c r="E292" s="76"/>
      <c r="F292" s="1503" t="str">
        <f t="shared" si="4"/>
        <v/>
      </c>
    </row>
    <row r="293" spans="1:6" ht="24">
      <c r="A293" s="1465" t="s">
        <v>3192</v>
      </c>
      <c r="B293" s="1508" t="s">
        <v>3831</v>
      </c>
      <c r="C293" s="1501" t="s">
        <v>3770</v>
      </c>
      <c r="D293" s="1502">
        <v>19</v>
      </c>
      <c r="E293" s="76"/>
      <c r="F293" s="1503" t="str">
        <f t="shared" si="4"/>
        <v/>
      </c>
    </row>
    <row r="294" spans="1:6" ht="24">
      <c r="A294" s="1505" t="s">
        <v>3223</v>
      </c>
      <c r="B294" s="1500" t="s">
        <v>3832</v>
      </c>
      <c r="C294" s="1501" t="s">
        <v>1160</v>
      </c>
      <c r="D294" s="1502">
        <v>1100</v>
      </c>
      <c r="E294" s="76"/>
      <c r="F294" s="1503" t="str">
        <f t="shared" si="4"/>
        <v/>
      </c>
    </row>
    <row r="295" spans="1:6">
      <c r="A295" s="1499" t="s">
        <v>3234</v>
      </c>
      <c r="B295" s="1500" t="s">
        <v>3833</v>
      </c>
      <c r="C295" s="1501" t="s">
        <v>1160</v>
      </c>
      <c r="D295" s="1502">
        <v>100</v>
      </c>
      <c r="E295" s="76"/>
      <c r="F295" s="1503" t="str">
        <f t="shared" si="4"/>
        <v/>
      </c>
    </row>
    <row r="296" spans="1:6" ht="24">
      <c r="A296" s="1499" t="s">
        <v>3255</v>
      </c>
      <c r="B296" s="1509" t="s">
        <v>3834</v>
      </c>
      <c r="C296" s="1501" t="s">
        <v>1160</v>
      </c>
      <c r="D296" s="1502">
        <v>100</v>
      </c>
      <c r="E296" s="76"/>
      <c r="F296" s="1503" t="str">
        <f t="shared" si="4"/>
        <v/>
      </c>
    </row>
    <row r="297" spans="1:6">
      <c r="A297" s="1499" t="s">
        <v>3264</v>
      </c>
      <c r="B297" s="1500" t="s">
        <v>3835</v>
      </c>
      <c r="C297" s="1501" t="s">
        <v>1160</v>
      </c>
      <c r="D297" s="1502">
        <v>350</v>
      </c>
      <c r="E297" s="76"/>
      <c r="F297" s="1503" t="str">
        <f t="shared" si="4"/>
        <v/>
      </c>
    </row>
    <row r="298" spans="1:6" ht="24">
      <c r="A298" s="1499" t="s">
        <v>3836</v>
      </c>
      <c r="B298" s="1500" t="s">
        <v>3837</v>
      </c>
      <c r="C298" s="1501" t="s">
        <v>1160</v>
      </c>
      <c r="D298" s="1502">
        <v>150</v>
      </c>
      <c r="E298" s="76"/>
      <c r="F298" s="1503" t="str">
        <f t="shared" si="4"/>
        <v/>
      </c>
    </row>
    <row r="299" spans="1:6" ht="24">
      <c r="A299" s="1499" t="s">
        <v>3838</v>
      </c>
      <c r="B299" s="1500" t="s">
        <v>3839</v>
      </c>
      <c r="C299" s="1501" t="s">
        <v>2632</v>
      </c>
      <c r="D299" s="1502">
        <v>1</v>
      </c>
      <c r="E299" s="76"/>
      <c r="F299" s="1503" t="str">
        <f t="shared" si="4"/>
        <v/>
      </c>
    </row>
    <row r="300" spans="1:6">
      <c r="A300" s="1499" t="s">
        <v>3840</v>
      </c>
      <c r="B300" s="1500" t="s">
        <v>3841</v>
      </c>
      <c r="C300" s="1501" t="s">
        <v>2632</v>
      </c>
      <c r="D300" s="1502">
        <v>2</v>
      </c>
      <c r="E300" s="76"/>
      <c r="F300" s="1503" t="str">
        <f t="shared" si="4"/>
        <v/>
      </c>
    </row>
    <row r="301" spans="1:6">
      <c r="A301" s="1499" t="s">
        <v>3842</v>
      </c>
      <c r="B301" s="1500" t="s">
        <v>3843</v>
      </c>
      <c r="C301" s="1501" t="s">
        <v>2632</v>
      </c>
      <c r="D301" s="1502">
        <v>1</v>
      </c>
      <c r="E301" s="76"/>
      <c r="F301" s="1503" t="str">
        <f t="shared" si="4"/>
        <v/>
      </c>
    </row>
    <row r="302" spans="1:6" s="1507" customFormat="1">
      <c r="A302" s="1709"/>
      <c r="B302" s="1710"/>
      <c r="C302" s="1710"/>
      <c r="D302" s="1710"/>
      <c r="E302" s="1710"/>
      <c r="F302" s="1711"/>
    </row>
    <row r="303" spans="1:6">
      <c r="A303" s="1712" t="s">
        <v>3844</v>
      </c>
      <c r="B303" s="1713"/>
      <c r="C303" s="1713"/>
      <c r="D303" s="1713"/>
      <c r="E303" s="1714"/>
      <c r="F303" s="1504">
        <f>SUM(F289:F301)</f>
        <v>0</v>
      </c>
    </row>
    <row r="305" spans="1:6" s="1507" customFormat="1">
      <c r="A305" s="1484"/>
      <c r="B305" s="1510"/>
      <c r="C305" s="1511"/>
      <c r="D305" s="1486"/>
      <c r="E305" s="1512"/>
      <c r="F305" s="1512"/>
    </row>
    <row r="306" spans="1:6">
      <c r="A306" s="1715" t="s">
        <v>3845</v>
      </c>
      <c r="B306" s="1716"/>
      <c r="C306" s="1716"/>
      <c r="D306" s="1716"/>
      <c r="E306" s="1716"/>
      <c r="F306" s="1717"/>
    </row>
    <row r="307" spans="1:6" s="1507" customFormat="1">
      <c r="A307" s="1709"/>
      <c r="B307" s="1710"/>
      <c r="C307" s="1710"/>
      <c r="D307" s="1710"/>
      <c r="E307" s="1710"/>
      <c r="F307" s="1711"/>
    </row>
    <row r="308" spans="1:6">
      <c r="A308" s="1703" t="s">
        <v>3616</v>
      </c>
      <c r="B308" s="1704"/>
      <c r="C308" s="1704"/>
      <c r="D308" s="1704"/>
      <c r="E308" s="1705"/>
      <c r="F308" s="1513">
        <f>F202</f>
        <v>0</v>
      </c>
    </row>
    <row r="309" spans="1:6" s="1507" customFormat="1">
      <c r="A309" s="1706"/>
      <c r="B309" s="1707"/>
      <c r="C309" s="1707"/>
      <c r="D309" s="1707"/>
      <c r="E309" s="1707"/>
      <c r="F309" s="1708"/>
    </row>
    <row r="310" spans="1:6">
      <c r="A310" s="1703" t="s">
        <v>3705</v>
      </c>
      <c r="B310" s="1704"/>
      <c r="C310" s="1704"/>
      <c r="D310" s="1704"/>
      <c r="E310" s="1705"/>
      <c r="F310" s="1513">
        <f>F219</f>
        <v>0</v>
      </c>
    </row>
    <row r="311" spans="1:6" s="1507" customFormat="1">
      <c r="A311" s="1706"/>
      <c r="B311" s="1707"/>
      <c r="C311" s="1707"/>
      <c r="D311" s="1707"/>
      <c r="E311" s="1707"/>
      <c r="F311" s="1708"/>
    </row>
    <row r="312" spans="1:6">
      <c r="A312" s="1703" t="s">
        <v>3726</v>
      </c>
      <c r="B312" s="1704"/>
      <c r="C312" s="1704"/>
      <c r="D312" s="1704"/>
      <c r="E312" s="1705"/>
      <c r="F312" s="1513">
        <f>F246</f>
        <v>0</v>
      </c>
    </row>
    <row r="313" spans="1:6" s="1507" customFormat="1">
      <c r="A313" s="1706"/>
      <c r="B313" s="1707"/>
      <c r="C313" s="1707"/>
      <c r="D313" s="1707"/>
      <c r="E313" s="1707"/>
      <c r="F313" s="1708"/>
    </row>
    <row r="314" spans="1:6">
      <c r="A314" s="1703" t="s">
        <v>3846</v>
      </c>
      <c r="B314" s="1704"/>
      <c r="C314" s="1704"/>
      <c r="D314" s="1704"/>
      <c r="E314" s="1705"/>
      <c r="F314" s="1513">
        <f>F286</f>
        <v>0</v>
      </c>
    </row>
    <row r="315" spans="1:6" s="1507" customFormat="1">
      <c r="A315" s="1706"/>
      <c r="B315" s="1707"/>
      <c r="C315" s="1707"/>
      <c r="D315" s="1707"/>
      <c r="E315" s="1707"/>
      <c r="F315" s="1708"/>
    </row>
    <row r="316" spans="1:6">
      <c r="A316" s="1703" t="s">
        <v>3826</v>
      </c>
      <c r="B316" s="1704"/>
      <c r="C316" s="1704"/>
      <c r="D316" s="1704"/>
      <c r="E316" s="1705"/>
      <c r="F316" s="1513">
        <f>F303</f>
        <v>0</v>
      </c>
    </row>
    <row r="317" spans="1:6" s="1507" customFormat="1">
      <c r="A317" s="1706"/>
      <c r="B317" s="1707"/>
      <c r="C317" s="1707"/>
      <c r="D317" s="1707"/>
      <c r="E317" s="1707"/>
      <c r="F317" s="1708"/>
    </row>
    <row r="318" spans="1:6">
      <c r="A318" s="1703" t="s">
        <v>3847</v>
      </c>
      <c r="B318" s="1704"/>
      <c r="C318" s="1704"/>
      <c r="D318" s="1704"/>
      <c r="E318" s="1705"/>
      <c r="F318" s="1513" t="str">
        <f>IF(SUM(F307:F317),SUM(F307:F317),"")</f>
        <v/>
      </c>
    </row>
  </sheetData>
  <sheetProtection algorithmName="SHA-512" hashValue="2ccRE82VJBbIQXl9j2w7vT17fW6gyBfG4al29UGsxx3c8yWvO+K6uiLSMnE1I97U+l5BRNvGPLRlttfJpgSLDQ==" saltValue="yXf2eqCX+oAiy7BPQEPFsQ==" spinCount="100000" sheet="1"/>
  <protectedRanges>
    <protectedRange sqref="E7:E56 E203 E319:E65476 E59:E60" name="Range1"/>
    <protectedRange sqref="E57:E58" name="Range1_2"/>
    <protectedRange sqref="E245 E201 E218" name="Range1_3_1"/>
    <protectedRange sqref="E239:E244 E205:E217 E229:E236 E151:E200" name="Range1_4"/>
    <protectedRange sqref="E150 E202 E204 E219 E246" name="Range1_5"/>
    <protectedRange sqref="E220" name="Range1_6"/>
    <protectedRange sqref="E222:E228" name="Range1_4_2"/>
    <protectedRange sqref="E221" name="Range1_5_1"/>
    <protectedRange sqref="E237:E238" name="Range1_4_3"/>
    <protectedRange sqref="E305:E318" name="Range1_11"/>
    <protectedRange sqref="E247" name="Range1_10"/>
    <protectedRange sqref="E149 E61 E105 E87" name="Range1_12"/>
    <protectedRange sqref="E73:E74 E85 E62:E63" name="Range1_5_4"/>
    <protectedRange sqref="E88:E104 E72 E86" name="Range1_10_1_1"/>
    <protectedRange sqref="E106:E121 E138:E147" name="Range1_10_2"/>
    <protectedRange sqref="E122:E137" name="Range1_7_2"/>
    <protectedRange sqref="E6" name="Range1_1"/>
    <protectedRange sqref="E1:E5" name="Range1_1_2"/>
    <protectedRange sqref="E148" name="Range1_3"/>
    <protectedRange sqref="E304" name="Range1_10_3"/>
    <protectedRange sqref="E248" name="Range1_5_1_1"/>
    <protectedRange sqref="E286" name="Range1_5_2"/>
    <protectedRange sqref="E287" name="Range1_11_1_1"/>
    <protectedRange sqref="E303" name="Range1_5_2_1"/>
    <protectedRange sqref="E288" name="Range1_5_1_2"/>
    <protectedRange sqref="E249:E284" name="Range1_7"/>
    <protectedRange sqref="B258" name="Range2_1"/>
    <protectedRange sqref="E289:E301" name="Range1_2_2"/>
    <protectedRange sqref="E64:E71 E75:E84" name="Range1_5_4_1_1"/>
  </protectedRanges>
  <mergeCells count="97">
    <mergeCell ref="A17:B17"/>
    <mergeCell ref="A1:E5"/>
    <mergeCell ref="A7:B7"/>
    <mergeCell ref="B8:D9"/>
    <mergeCell ref="A12:B12"/>
    <mergeCell ref="B13:D15"/>
    <mergeCell ref="B64:F64"/>
    <mergeCell ref="A20:B20"/>
    <mergeCell ref="A23:B23"/>
    <mergeCell ref="A27:F32"/>
    <mergeCell ref="A36:B36"/>
    <mergeCell ref="B37:B40"/>
    <mergeCell ref="A42:B42"/>
    <mergeCell ref="B43:B46"/>
    <mergeCell ref="A48:B48"/>
    <mergeCell ref="B49:B52"/>
    <mergeCell ref="B55:E55"/>
    <mergeCell ref="A62:F62"/>
    <mergeCell ref="B87:E87"/>
    <mergeCell ref="A66:A67"/>
    <mergeCell ref="B66:F67"/>
    <mergeCell ref="A69:A70"/>
    <mergeCell ref="B69:F70"/>
    <mergeCell ref="A73:F73"/>
    <mergeCell ref="B75:F75"/>
    <mergeCell ref="A77:A78"/>
    <mergeCell ref="B77:F78"/>
    <mergeCell ref="B80:F80"/>
    <mergeCell ref="B82:F82"/>
    <mergeCell ref="B84:F84"/>
    <mergeCell ref="B108:F108"/>
    <mergeCell ref="A88:F88"/>
    <mergeCell ref="B90:F90"/>
    <mergeCell ref="B92:F92"/>
    <mergeCell ref="A94:A95"/>
    <mergeCell ref="B94:F95"/>
    <mergeCell ref="B97:F97"/>
    <mergeCell ref="B99:F99"/>
    <mergeCell ref="B101:F101"/>
    <mergeCell ref="B103:F103"/>
    <mergeCell ref="B105:E105"/>
    <mergeCell ref="A106:F106"/>
    <mergeCell ref="B128:F128"/>
    <mergeCell ref="B110:F110"/>
    <mergeCell ref="B112:F112"/>
    <mergeCell ref="B114:F114"/>
    <mergeCell ref="B116:F116"/>
    <mergeCell ref="B118:F118"/>
    <mergeCell ref="B120:F120"/>
    <mergeCell ref="A122:F122"/>
    <mergeCell ref="B124:F124"/>
    <mergeCell ref="A125:F125"/>
    <mergeCell ref="B126:F126"/>
    <mergeCell ref="A127:F127"/>
    <mergeCell ref="B143:F143"/>
    <mergeCell ref="A129:F129"/>
    <mergeCell ref="A130:A131"/>
    <mergeCell ref="B130:F131"/>
    <mergeCell ref="A132:F132"/>
    <mergeCell ref="B133:F133"/>
    <mergeCell ref="A134:F134"/>
    <mergeCell ref="B135:F135"/>
    <mergeCell ref="A136:F136"/>
    <mergeCell ref="B137:F137"/>
    <mergeCell ref="A139:F139"/>
    <mergeCell ref="B141:F141"/>
    <mergeCell ref="A248:F248"/>
    <mergeCell ref="B145:F145"/>
    <mergeCell ref="B147:F147"/>
    <mergeCell ref="A150:F150"/>
    <mergeCell ref="B201:E201"/>
    <mergeCell ref="A202:E202"/>
    <mergeCell ref="A204:F204"/>
    <mergeCell ref="B218:E218"/>
    <mergeCell ref="A219:E219"/>
    <mergeCell ref="A221:F221"/>
    <mergeCell ref="B245:E245"/>
    <mergeCell ref="A246:E246"/>
    <mergeCell ref="A311:F311"/>
    <mergeCell ref="A285:F285"/>
    <mergeCell ref="A286:E286"/>
    <mergeCell ref="A287:F287"/>
    <mergeCell ref="A288:F288"/>
    <mergeCell ref="A302:F302"/>
    <mergeCell ref="A303:E303"/>
    <mergeCell ref="A306:F306"/>
    <mergeCell ref="A307:F307"/>
    <mergeCell ref="A308:E308"/>
    <mergeCell ref="A309:F309"/>
    <mergeCell ref="A310:E310"/>
    <mergeCell ref="A318:E318"/>
    <mergeCell ref="A312:E312"/>
    <mergeCell ref="A313:F313"/>
    <mergeCell ref="A314:E314"/>
    <mergeCell ref="A315:F315"/>
    <mergeCell ref="A316:E316"/>
    <mergeCell ref="A317:F317"/>
  </mergeCells>
  <pageMargins left="0.78740157480314965" right="0.39370078740157483" top="0.70866141732283472" bottom="0.78740157480314965" header="0.23622047244094491" footer="0.35433070866141736"/>
  <pageSetup paperSize="9" scale="96" fitToHeight="50" pageOrder="overThenDown" orientation="portrait" useFirstPageNumber="1" horizontalDpi="300" verticalDpi="300" r:id="rId1"/>
  <headerFooter differentFirst="1">
    <oddHeader xml:space="preserve">&amp;LInvestitor: Hrvatski institut za povijest&amp;C&amp;"Arial,Podebljano"Troškovnik - Protupožarni sustavi
&amp;Rdatum:
lipanj 2025.
</oddHeader>
    <oddFooter xml:space="preserve">&amp;CGrađevina:
Palača bogoštovlja i nastave&amp;Rstr.: &amp;P od &amp;N
</oddFooter>
  </headerFooter>
  <rowBreaks count="5" manualBreakCount="5">
    <brk id="86" max="5" man="1"/>
    <brk id="120" max="5" man="1"/>
    <brk id="149" max="5" man="1"/>
    <brk id="246" max="5" man="1"/>
    <brk id="304"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79998168889431442"/>
    <pageSetUpPr fitToPage="1"/>
  </sheetPr>
  <dimension ref="A1:P1880"/>
  <sheetViews>
    <sheetView showZeros="0" topLeftCell="A16" zoomScaleNormal="100" zoomScaleSheetLayoutView="80" zoomScalePageLayoutView="85" workbookViewId="0">
      <selection activeCell="C21" sqref="C21"/>
    </sheetView>
  </sheetViews>
  <sheetFormatPr defaultColWidth="5.140625" defaultRowHeight="12.75"/>
  <cols>
    <col min="1" max="1" width="6.85546875" style="1334" customWidth="1"/>
    <col min="2" max="2" width="53.42578125" style="1335" customWidth="1"/>
    <col min="3" max="3" width="19.28515625" style="1296" customWidth="1"/>
    <col min="4" max="4" width="18.85546875" style="1335" customWidth="1"/>
    <col min="5" max="5" width="18.7109375" style="1335" customWidth="1"/>
    <col min="6" max="6" width="17.85546875" style="1335" customWidth="1"/>
    <col min="7" max="7" width="20.5703125" style="1290" customWidth="1"/>
    <col min="8" max="16384" width="5.140625" style="1290"/>
  </cols>
  <sheetData>
    <row r="1" spans="1:6">
      <c r="A1" s="1287" t="s">
        <v>106</v>
      </c>
      <c r="B1" s="1288"/>
      <c r="C1" s="1289" t="s">
        <v>105</v>
      </c>
      <c r="D1" s="1287"/>
      <c r="E1" s="1289" t="s">
        <v>104</v>
      </c>
      <c r="F1" s="1289" t="s">
        <v>103</v>
      </c>
    </row>
    <row r="2" spans="1:6">
      <c r="A2" s="1287" t="s">
        <v>102</v>
      </c>
      <c r="B2" s="1288" t="s">
        <v>101</v>
      </c>
      <c r="C2" s="1289" t="s">
        <v>100</v>
      </c>
      <c r="D2" s="1287" t="s">
        <v>99</v>
      </c>
      <c r="E2" s="1291" t="s">
        <v>98</v>
      </c>
      <c r="F2" s="1289" t="s">
        <v>98</v>
      </c>
    </row>
    <row r="3" spans="1:6" s="1296" customFormat="1">
      <c r="A3" s="1292"/>
      <c r="B3" s="1293"/>
      <c r="C3" s="1294"/>
      <c r="D3" s="1295"/>
      <c r="E3" s="1294"/>
      <c r="F3" s="1294"/>
    </row>
    <row r="4" spans="1:6" s="1299" customFormat="1">
      <c r="A4" s="1297" t="s">
        <v>3527</v>
      </c>
      <c r="B4" s="1298" t="s">
        <v>3528</v>
      </c>
      <c r="C4" s="1298"/>
      <c r="D4" s="1297"/>
      <c r="E4" s="1298"/>
      <c r="F4" s="1298"/>
    </row>
    <row r="5" spans="1:6" s="1296" customFormat="1">
      <c r="A5" s="1292"/>
      <c r="B5" s="1294"/>
      <c r="C5" s="1294"/>
      <c r="D5" s="1295"/>
      <c r="E5" s="1294"/>
      <c r="F5" s="1294"/>
    </row>
    <row r="6" spans="1:6" s="1299" customFormat="1">
      <c r="A6" s="1300"/>
      <c r="B6" s="1301" t="s">
        <v>3529</v>
      </c>
      <c r="C6" s="1302"/>
      <c r="D6" s="1300"/>
      <c r="E6" s="1302"/>
      <c r="F6" s="1302"/>
    </row>
    <row r="7" spans="1:6" s="1299" customFormat="1" ht="369.75">
      <c r="A7" s="1300"/>
      <c r="B7" s="1301" t="s">
        <v>3530</v>
      </c>
      <c r="C7" s="1302"/>
      <c r="D7" s="1300"/>
      <c r="E7" s="69"/>
      <c r="F7" s="1302"/>
    </row>
    <row r="8" spans="1:6" s="1299" customFormat="1" ht="242.25">
      <c r="A8" s="1300"/>
      <c r="B8" s="1301" t="s">
        <v>3531</v>
      </c>
      <c r="C8" s="1302"/>
      <c r="D8" s="1300"/>
      <c r="E8" s="69"/>
      <c r="F8" s="1302"/>
    </row>
    <row r="9" spans="1:6" s="1299" customFormat="1" ht="331.5">
      <c r="A9" s="1300"/>
      <c r="B9" s="1301" t="s">
        <v>3532</v>
      </c>
      <c r="C9" s="1302"/>
      <c r="D9" s="1300"/>
      <c r="E9" s="69"/>
      <c r="F9" s="1302"/>
    </row>
    <row r="10" spans="1:6" s="1299" customFormat="1" ht="323.25" customHeight="1">
      <c r="A10" s="1300"/>
      <c r="B10" s="1301" t="s">
        <v>3533</v>
      </c>
      <c r="C10" s="1302"/>
      <c r="D10" s="1300"/>
      <c r="E10" s="69"/>
      <c r="F10" s="1302"/>
    </row>
    <row r="11" spans="1:6" s="1299" customFormat="1" ht="109.5" customHeight="1">
      <c r="A11" s="1300"/>
      <c r="B11" s="1303" t="s">
        <v>3534</v>
      </c>
      <c r="C11" s="1302"/>
      <c r="D11" s="1300"/>
      <c r="E11" s="69"/>
      <c r="F11" s="1302"/>
    </row>
    <row r="12" spans="1:6" ht="76.5">
      <c r="A12" s="1292"/>
      <c r="B12" s="1304" t="s">
        <v>3535</v>
      </c>
      <c r="C12" s="1294"/>
      <c r="D12" s="1295"/>
      <c r="E12" s="67"/>
      <c r="F12" s="1294"/>
    </row>
    <row r="13" spans="1:6" ht="165.75">
      <c r="A13" s="1292"/>
      <c r="B13" s="1304" t="s">
        <v>3536</v>
      </c>
      <c r="C13" s="1294"/>
      <c r="D13" s="1295"/>
      <c r="E13" s="67"/>
      <c r="F13" s="1294"/>
    </row>
    <row r="14" spans="1:6">
      <c r="A14" s="1292"/>
      <c r="B14" s="1305"/>
      <c r="C14" s="1294"/>
      <c r="D14" s="1295"/>
      <c r="E14" s="67"/>
      <c r="F14" s="1294"/>
    </row>
    <row r="15" spans="1:6" s="1296" customFormat="1">
      <c r="A15" s="1297" t="s">
        <v>3537</v>
      </c>
      <c r="B15" s="1298" t="s">
        <v>3538</v>
      </c>
      <c r="C15" s="1306"/>
      <c r="D15" s="1307"/>
      <c r="E15" s="70"/>
      <c r="F15" s="1306"/>
    </row>
    <row r="16" spans="1:6" s="1296" customFormat="1">
      <c r="A16" s="1297"/>
      <c r="B16" s="1298"/>
      <c r="C16" s="1306"/>
      <c r="D16" s="1307"/>
      <c r="E16" s="70"/>
      <c r="F16" s="1306"/>
    </row>
    <row r="17" spans="1:16" s="1296" customFormat="1">
      <c r="A17" s="1292"/>
      <c r="B17" s="1293"/>
      <c r="C17" s="1294"/>
      <c r="D17" s="1295"/>
      <c r="E17" s="67"/>
      <c r="F17" s="1294"/>
    </row>
    <row r="18" spans="1:16" s="1296" customFormat="1" ht="37.5">
      <c r="A18" s="1292"/>
      <c r="B18" s="1308" t="s">
        <v>3539</v>
      </c>
      <c r="C18" s="1294"/>
      <c r="D18" s="1295"/>
      <c r="E18" s="67"/>
      <c r="F18" s="1294"/>
    </row>
    <row r="19" spans="1:16" s="1296" customFormat="1" ht="57">
      <c r="A19" s="1309" t="s">
        <v>977</v>
      </c>
      <c r="B19" s="1310" t="s">
        <v>3540</v>
      </c>
      <c r="C19" s="1311" t="s">
        <v>34</v>
      </c>
      <c r="D19" s="1312">
        <v>1</v>
      </c>
      <c r="E19" s="71"/>
      <c r="F19" s="1313">
        <f>D19*E19</f>
        <v>0</v>
      </c>
    </row>
    <row r="20" spans="1:16" s="1296" customFormat="1" ht="14.25">
      <c r="A20" s="1314"/>
      <c r="B20" s="1315"/>
      <c r="C20" s="1316"/>
      <c r="D20" s="1317"/>
      <c r="E20" s="72"/>
      <c r="F20" s="1317"/>
    </row>
    <row r="21" spans="1:16" s="1296" customFormat="1" ht="42.75">
      <c r="A21" s="1314" t="s">
        <v>978</v>
      </c>
      <c r="B21" s="1310" t="s">
        <v>3541</v>
      </c>
      <c r="C21" s="1316" t="s">
        <v>34</v>
      </c>
      <c r="D21" s="1318">
        <v>1</v>
      </c>
      <c r="E21" s="73"/>
      <c r="F21" s="1313">
        <f>D21*E21</f>
        <v>0</v>
      </c>
    </row>
    <row r="22" spans="1:16" s="1299" customFormat="1">
      <c r="A22" s="1297"/>
      <c r="B22" s="1319"/>
      <c r="C22" s="1298"/>
      <c r="D22" s="1297"/>
      <c r="E22" s="68"/>
      <c r="F22" s="1298"/>
    </row>
    <row r="23" spans="1:16" s="1299" customFormat="1">
      <c r="A23" s="1297"/>
      <c r="B23" s="1298"/>
      <c r="C23" s="1298"/>
      <c r="D23" s="1297"/>
      <c r="E23" s="68"/>
      <c r="F23" s="1298"/>
    </row>
    <row r="24" spans="1:16" s="1299" customFormat="1" ht="381" customHeight="1">
      <c r="A24" s="1300"/>
      <c r="B24" s="1320" t="s">
        <v>3542</v>
      </c>
      <c r="C24" s="1302"/>
      <c r="D24" s="1300"/>
      <c r="E24" s="69"/>
      <c r="F24" s="1302"/>
    </row>
    <row r="25" spans="1:16" s="1299" customFormat="1" ht="409.5" customHeight="1">
      <c r="A25" s="1300"/>
      <c r="B25" s="1320" t="s">
        <v>3543</v>
      </c>
      <c r="C25" s="1302"/>
      <c r="D25" s="1300"/>
      <c r="E25" s="69"/>
      <c r="F25" s="1302"/>
    </row>
    <row r="26" spans="1:16" s="1299" customFormat="1" ht="216.75" customHeight="1">
      <c r="A26" s="1300"/>
      <c r="B26" s="1320" t="s">
        <v>3544</v>
      </c>
      <c r="C26" s="1302"/>
      <c r="D26" s="1300"/>
      <c r="E26" s="69"/>
      <c r="F26" s="1302"/>
    </row>
    <row r="27" spans="1:16" s="1299" customFormat="1" ht="42.75">
      <c r="A27" s="1321" t="s">
        <v>980</v>
      </c>
      <c r="B27" s="1322" t="s">
        <v>3545</v>
      </c>
      <c r="C27" s="1323" t="s">
        <v>34</v>
      </c>
      <c r="D27" s="1324">
        <v>1</v>
      </c>
      <c r="E27" s="74"/>
      <c r="F27" s="1325">
        <f>D27*E27</f>
        <v>0</v>
      </c>
    </row>
    <row r="28" spans="1:16" s="1299" customFormat="1" ht="14.25">
      <c r="A28" s="1326"/>
      <c r="B28" s="1327"/>
      <c r="C28" s="1328"/>
      <c r="D28" s="1329"/>
      <c r="E28" s="75"/>
      <c r="F28" s="1330"/>
    </row>
    <row r="29" spans="1:16" s="1299" customFormat="1" ht="42.75">
      <c r="A29" s="1321" t="s">
        <v>981</v>
      </c>
      <c r="B29" s="1322" t="s">
        <v>3546</v>
      </c>
      <c r="C29" s="1323" t="s">
        <v>34</v>
      </c>
      <c r="D29" s="1324">
        <v>1</v>
      </c>
      <c r="E29" s="74"/>
      <c r="F29" s="1325">
        <f>D29*E29</f>
        <v>0</v>
      </c>
    </row>
    <row r="30" spans="1:16" s="1299" customFormat="1" ht="13.5" thickBot="1">
      <c r="A30" s="1300"/>
      <c r="B30" s="1320"/>
      <c r="C30" s="1302"/>
      <c r="D30" s="1300"/>
      <c r="E30" s="1302"/>
      <c r="F30" s="1302"/>
    </row>
    <row r="31" spans="1:16" s="1299" customFormat="1" ht="17.25" thickTop="1" thickBot="1">
      <c r="A31" s="1331"/>
      <c r="B31" s="1735" t="s">
        <v>3547</v>
      </c>
      <c r="C31" s="1736"/>
      <c r="D31" s="1736"/>
      <c r="E31" s="1736"/>
      <c r="F31" s="1332">
        <f>SUM(F19:F30)</f>
        <v>0</v>
      </c>
      <c r="G31" s="1333"/>
    </row>
    <row r="32" spans="1:16" s="1335" customFormat="1" ht="13.5" thickTop="1">
      <c r="A32" s="1334"/>
      <c r="B32" s="1290"/>
      <c r="C32" s="1290"/>
      <c r="G32" s="1290"/>
      <c r="H32" s="1290"/>
      <c r="I32" s="1290"/>
      <c r="J32" s="1290"/>
      <c r="K32" s="1290"/>
      <c r="L32" s="1290"/>
      <c r="M32" s="1290"/>
      <c r="N32" s="1290"/>
      <c r="O32" s="1290"/>
      <c r="P32" s="1290"/>
    </row>
    <row r="33" spans="1:16" s="1335" customFormat="1">
      <c r="A33" s="1334"/>
      <c r="B33" s="1290"/>
      <c r="C33" s="1290"/>
      <c r="G33" s="1290"/>
      <c r="H33" s="1290"/>
      <c r="I33" s="1290"/>
      <c r="J33" s="1290"/>
      <c r="K33" s="1290"/>
      <c r="L33" s="1290"/>
      <c r="M33" s="1290"/>
      <c r="N33" s="1290"/>
      <c r="O33" s="1290"/>
      <c r="P33" s="1290"/>
    </row>
    <row r="34" spans="1:16" s="1335" customFormat="1">
      <c r="A34" s="1334"/>
      <c r="B34" s="1290"/>
      <c r="C34" s="1290"/>
      <c r="G34" s="1290"/>
      <c r="H34" s="1290"/>
      <c r="I34" s="1290"/>
      <c r="J34" s="1290"/>
      <c r="K34" s="1290"/>
      <c r="L34" s="1290"/>
      <c r="M34" s="1290"/>
      <c r="N34" s="1290"/>
      <c r="O34" s="1290"/>
      <c r="P34" s="1290"/>
    </row>
    <row r="35" spans="1:16" s="1335" customFormat="1">
      <c r="A35" s="1334"/>
      <c r="B35" s="1290"/>
      <c r="C35" s="1290"/>
      <c r="G35" s="1290"/>
      <c r="H35" s="1290"/>
      <c r="I35" s="1290"/>
      <c r="J35" s="1290"/>
      <c r="K35" s="1290"/>
      <c r="L35" s="1290"/>
      <c r="M35" s="1290"/>
      <c r="N35" s="1290"/>
      <c r="O35" s="1290"/>
      <c r="P35" s="1290"/>
    </row>
    <row r="36" spans="1:16" s="1335" customFormat="1">
      <c r="A36" s="1334"/>
      <c r="B36" s="1290"/>
      <c r="C36" s="1290"/>
      <c r="G36" s="1290"/>
      <c r="H36" s="1290"/>
      <c r="I36" s="1290"/>
      <c r="J36" s="1290"/>
      <c r="K36" s="1290"/>
      <c r="L36" s="1290"/>
      <c r="M36" s="1290"/>
      <c r="N36" s="1290"/>
      <c r="O36" s="1290"/>
      <c r="P36" s="1290"/>
    </row>
    <row r="37" spans="1:16" s="1335" customFormat="1">
      <c r="A37" s="1334"/>
      <c r="B37" s="1290"/>
      <c r="C37" s="1290"/>
      <c r="G37" s="1290"/>
      <c r="H37" s="1290"/>
      <c r="I37" s="1290"/>
      <c r="J37" s="1290"/>
      <c r="K37" s="1290"/>
      <c r="L37" s="1290"/>
      <c r="M37" s="1290"/>
      <c r="N37" s="1290"/>
      <c r="O37" s="1290"/>
      <c r="P37" s="1290"/>
    </row>
    <row r="38" spans="1:16" s="1335" customFormat="1">
      <c r="A38" s="1334"/>
      <c r="B38" s="1290"/>
      <c r="C38" s="1290"/>
      <c r="G38" s="1290"/>
      <c r="H38" s="1290"/>
      <c r="I38" s="1290"/>
      <c r="J38" s="1290"/>
      <c r="K38" s="1290"/>
      <c r="L38" s="1290"/>
      <c r="M38" s="1290"/>
      <c r="N38" s="1290"/>
      <c r="O38" s="1290"/>
      <c r="P38" s="1290"/>
    </row>
    <row r="39" spans="1:16" s="1335" customFormat="1">
      <c r="A39" s="1334"/>
      <c r="B39" s="1290"/>
      <c r="C39" s="1290"/>
      <c r="G39" s="1290"/>
      <c r="H39" s="1290"/>
      <c r="I39" s="1290"/>
      <c r="J39" s="1290"/>
      <c r="K39" s="1290"/>
      <c r="L39" s="1290"/>
      <c r="M39" s="1290"/>
      <c r="N39" s="1290"/>
      <c r="O39" s="1290"/>
      <c r="P39" s="1290"/>
    </row>
    <row r="40" spans="1:16" s="1335" customFormat="1">
      <c r="A40" s="1334"/>
      <c r="B40" s="1290"/>
      <c r="C40" s="1290"/>
      <c r="G40" s="1290"/>
      <c r="H40" s="1290"/>
      <c r="I40" s="1290"/>
      <c r="J40" s="1290"/>
      <c r="K40" s="1290"/>
      <c r="L40" s="1290"/>
      <c r="M40" s="1290"/>
      <c r="N40" s="1290"/>
      <c r="O40" s="1290"/>
      <c r="P40" s="1290"/>
    </row>
    <row r="41" spans="1:16" s="1335" customFormat="1">
      <c r="A41" s="1334"/>
      <c r="B41" s="1290"/>
      <c r="C41" s="1290"/>
      <c r="G41" s="1290"/>
      <c r="H41" s="1290"/>
      <c r="I41" s="1290"/>
      <c r="J41" s="1290"/>
      <c r="K41" s="1290"/>
      <c r="L41" s="1290"/>
      <c r="M41" s="1290"/>
      <c r="N41" s="1290"/>
      <c r="O41" s="1290"/>
      <c r="P41" s="1290"/>
    </row>
    <row r="42" spans="1:16" s="1335" customFormat="1">
      <c r="A42" s="1334"/>
      <c r="B42" s="1290"/>
      <c r="C42" s="1290"/>
      <c r="G42" s="1290"/>
      <c r="H42" s="1290"/>
      <c r="I42" s="1290"/>
      <c r="J42" s="1290"/>
      <c r="K42" s="1290"/>
      <c r="L42" s="1290"/>
      <c r="M42" s="1290"/>
      <c r="N42" s="1290"/>
      <c r="O42" s="1290"/>
      <c r="P42" s="1290"/>
    </row>
    <row r="43" spans="1:16" s="1335" customFormat="1">
      <c r="A43" s="1334"/>
      <c r="B43" s="1290"/>
      <c r="C43" s="1290"/>
      <c r="G43" s="1290"/>
      <c r="H43" s="1290"/>
      <c r="I43" s="1290"/>
      <c r="J43" s="1290"/>
      <c r="K43" s="1290"/>
      <c r="L43" s="1290"/>
      <c r="M43" s="1290"/>
      <c r="N43" s="1290"/>
      <c r="O43" s="1290"/>
      <c r="P43" s="1290"/>
    </row>
    <row r="44" spans="1:16" s="1335" customFormat="1">
      <c r="A44" s="1334"/>
      <c r="B44" s="1290"/>
      <c r="C44" s="1290"/>
      <c r="G44" s="1290"/>
      <c r="H44" s="1290"/>
      <c r="I44" s="1290"/>
      <c r="J44" s="1290"/>
      <c r="K44" s="1290"/>
      <c r="L44" s="1290"/>
      <c r="M44" s="1290"/>
      <c r="N44" s="1290"/>
      <c r="O44" s="1290"/>
      <c r="P44" s="1290"/>
    </row>
    <row r="45" spans="1:16" s="1335" customFormat="1">
      <c r="A45" s="1334"/>
      <c r="B45" s="1290"/>
      <c r="C45" s="1290"/>
      <c r="G45" s="1290"/>
      <c r="H45" s="1290"/>
      <c r="I45" s="1290"/>
      <c r="J45" s="1290"/>
      <c r="K45" s="1290"/>
      <c r="L45" s="1290"/>
      <c r="M45" s="1290"/>
      <c r="N45" s="1290"/>
      <c r="O45" s="1290"/>
      <c r="P45" s="1290"/>
    </row>
    <row r="46" spans="1:16" s="1335" customFormat="1">
      <c r="A46" s="1334"/>
      <c r="B46" s="1290"/>
      <c r="C46" s="1290"/>
      <c r="G46" s="1290"/>
      <c r="H46" s="1290"/>
      <c r="I46" s="1290"/>
      <c r="J46" s="1290"/>
      <c r="K46" s="1290"/>
      <c r="L46" s="1290"/>
      <c r="M46" s="1290"/>
      <c r="N46" s="1290"/>
      <c r="O46" s="1290"/>
      <c r="P46" s="1290"/>
    </row>
    <row r="47" spans="1:16" s="1335" customFormat="1">
      <c r="A47" s="1334"/>
      <c r="B47" s="1290"/>
      <c r="C47" s="1290"/>
      <c r="G47" s="1290"/>
      <c r="H47" s="1290"/>
      <c r="I47" s="1290"/>
      <c r="J47" s="1290"/>
      <c r="K47" s="1290"/>
      <c r="L47" s="1290"/>
      <c r="M47" s="1290"/>
      <c r="N47" s="1290"/>
      <c r="O47" s="1290"/>
      <c r="P47" s="1290"/>
    </row>
    <row r="48" spans="1:16" s="1335" customFormat="1">
      <c r="A48" s="1334"/>
      <c r="B48" s="1290"/>
      <c r="C48" s="1290"/>
      <c r="G48" s="1290"/>
      <c r="H48" s="1290"/>
      <c r="I48" s="1290"/>
      <c r="J48" s="1290"/>
      <c r="K48" s="1290"/>
      <c r="L48" s="1290"/>
      <c r="M48" s="1290"/>
      <c r="N48" s="1290"/>
      <c r="O48" s="1290"/>
      <c r="P48" s="1290"/>
    </row>
    <row r="49" spans="1:16" s="1335" customFormat="1">
      <c r="A49" s="1334"/>
      <c r="B49" s="1290"/>
      <c r="C49" s="1290"/>
      <c r="G49" s="1290"/>
      <c r="H49" s="1290"/>
      <c r="I49" s="1290"/>
      <c r="J49" s="1290"/>
      <c r="K49" s="1290"/>
      <c r="L49" s="1290"/>
      <c r="M49" s="1290"/>
      <c r="N49" s="1290"/>
      <c r="O49" s="1290"/>
      <c r="P49" s="1290"/>
    </row>
    <row r="50" spans="1:16" s="1335" customFormat="1">
      <c r="A50" s="1334"/>
      <c r="B50" s="1290"/>
      <c r="C50" s="1290"/>
      <c r="G50" s="1290"/>
      <c r="H50" s="1290"/>
      <c r="I50" s="1290"/>
      <c r="J50" s="1290"/>
      <c r="K50" s="1290"/>
      <c r="L50" s="1290"/>
      <c r="M50" s="1290"/>
      <c r="N50" s="1290"/>
      <c r="O50" s="1290"/>
      <c r="P50" s="1290"/>
    </row>
    <row r="51" spans="1:16" s="1335" customFormat="1">
      <c r="A51" s="1334"/>
      <c r="B51" s="1290"/>
      <c r="C51" s="1290"/>
      <c r="G51" s="1290"/>
      <c r="H51" s="1290"/>
      <c r="I51" s="1290"/>
      <c r="J51" s="1290"/>
      <c r="K51" s="1290"/>
      <c r="L51" s="1290"/>
      <c r="M51" s="1290"/>
      <c r="N51" s="1290"/>
      <c r="O51" s="1290"/>
      <c r="P51" s="1290"/>
    </row>
    <row r="52" spans="1:16" s="1335" customFormat="1">
      <c r="A52" s="1334"/>
      <c r="B52" s="1290"/>
      <c r="C52" s="1290"/>
      <c r="G52" s="1290"/>
      <c r="H52" s="1290"/>
      <c r="I52" s="1290"/>
      <c r="J52" s="1290"/>
      <c r="K52" s="1290"/>
      <c r="L52" s="1290"/>
      <c r="M52" s="1290"/>
      <c r="N52" s="1290"/>
      <c r="O52" s="1290"/>
      <c r="P52" s="1290"/>
    </row>
    <row r="53" spans="1:16" s="1335" customFormat="1">
      <c r="A53" s="1334"/>
      <c r="B53" s="1290"/>
      <c r="C53" s="1290"/>
      <c r="G53" s="1290"/>
      <c r="H53" s="1290"/>
      <c r="I53" s="1290"/>
      <c r="J53" s="1290"/>
      <c r="K53" s="1290"/>
      <c r="L53" s="1290"/>
      <c r="M53" s="1290"/>
      <c r="N53" s="1290"/>
      <c r="O53" s="1290"/>
      <c r="P53" s="1290"/>
    </row>
    <row r="54" spans="1:16" s="1335" customFormat="1">
      <c r="A54" s="1334"/>
      <c r="B54" s="1290"/>
      <c r="C54" s="1290"/>
      <c r="G54" s="1290"/>
      <c r="H54" s="1290"/>
      <c r="I54" s="1290"/>
      <c r="J54" s="1290"/>
      <c r="K54" s="1290"/>
      <c r="L54" s="1290"/>
      <c r="M54" s="1290"/>
      <c r="N54" s="1290"/>
      <c r="O54" s="1290"/>
      <c r="P54" s="1290"/>
    </row>
    <row r="55" spans="1:16" s="1335" customFormat="1">
      <c r="A55" s="1334"/>
      <c r="B55" s="1290"/>
      <c r="C55" s="1290"/>
      <c r="G55" s="1290"/>
      <c r="H55" s="1290"/>
      <c r="I55" s="1290"/>
      <c r="J55" s="1290"/>
      <c r="K55" s="1290"/>
      <c r="L55" s="1290"/>
      <c r="M55" s="1290"/>
      <c r="N55" s="1290"/>
      <c r="O55" s="1290"/>
      <c r="P55" s="1290"/>
    </row>
    <row r="56" spans="1:16" s="1335" customFormat="1">
      <c r="A56" s="1334"/>
      <c r="B56" s="1290"/>
      <c r="C56" s="1290"/>
      <c r="G56" s="1290"/>
      <c r="H56" s="1290"/>
      <c r="I56" s="1290"/>
      <c r="J56" s="1290"/>
      <c r="K56" s="1290"/>
      <c r="L56" s="1290"/>
      <c r="M56" s="1290"/>
      <c r="N56" s="1290"/>
      <c r="O56" s="1290"/>
      <c r="P56" s="1290"/>
    </row>
    <row r="57" spans="1:16" s="1335" customFormat="1">
      <c r="A57" s="1334"/>
      <c r="B57" s="1290"/>
      <c r="C57" s="1290"/>
      <c r="G57" s="1290"/>
      <c r="H57" s="1290"/>
      <c r="I57" s="1290"/>
      <c r="J57" s="1290"/>
      <c r="K57" s="1290"/>
      <c r="L57" s="1290"/>
      <c r="M57" s="1290"/>
      <c r="N57" s="1290"/>
      <c r="O57" s="1290"/>
      <c r="P57" s="1290"/>
    </row>
    <row r="58" spans="1:16" s="1335" customFormat="1">
      <c r="A58" s="1334"/>
      <c r="B58" s="1290"/>
      <c r="C58" s="1290"/>
      <c r="G58" s="1290"/>
      <c r="H58" s="1290"/>
      <c r="I58" s="1290"/>
      <c r="J58" s="1290"/>
      <c r="K58" s="1290"/>
      <c r="L58" s="1290"/>
      <c r="M58" s="1290"/>
      <c r="N58" s="1290"/>
      <c r="O58" s="1290"/>
      <c r="P58" s="1290"/>
    </row>
    <row r="59" spans="1:16" s="1335" customFormat="1">
      <c r="A59" s="1334"/>
      <c r="B59" s="1290"/>
      <c r="C59" s="1290"/>
      <c r="G59" s="1290"/>
      <c r="H59" s="1290"/>
      <c r="I59" s="1290"/>
      <c r="J59" s="1290"/>
      <c r="K59" s="1290"/>
      <c r="L59" s="1290"/>
      <c r="M59" s="1290"/>
      <c r="N59" s="1290"/>
      <c r="O59" s="1290"/>
      <c r="P59" s="1290"/>
    </row>
    <row r="60" spans="1:16" s="1335" customFormat="1">
      <c r="A60" s="1334"/>
      <c r="B60" s="1290"/>
      <c r="C60" s="1290"/>
      <c r="G60" s="1290"/>
      <c r="H60" s="1290"/>
      <c r="I60" s="1290"/>
      <c r="J60" s="1290"/>
      <c r="K60" s="1290"/>
      <c r="L60" s="1290"/>
      <c r="M60" s="1290"/>
      <c r="N60" s="1290"/>
      <c r="O60" s="1290"/>
      <c r="P60" s="1290"/>
    </row>
    <row r="61" spans="1:16" s="1335" customFormat="1">
      <c r="A61" s="1334"/>
      <c r="B61" s="1290"/>
      <c r="C61" s="1290"/>
      <c r="G61" s="1290"/>
      <c r="H61" s="1290"/>
      <c r="I61" s="1290"/>
      <c r="J61" s="1290"/>
      <c r="K61" s="1290"/>
      <c r="L61" s="1290"/>
      <c r="M61" s="1290"/>
      <c r="N61" s="1290"/>
      <c r="O61" s="1290"/>
      <c r="P61" s="1290"/>
    </row>
    <row r="62" spans="1:16" s="1335" customFormat="1">
      <c r="A62" s="1334"/>
      <c r="B62" s="1290"/>
      <c r="C62" s="1290"/>
      <c r="G62" s="1290"/>
      <c r="H62" s="1290"/>
      <c r="I62" s="1290"/>
      <c r="J62" s="1290"/>
      <c r="K62" s="1290"/>
      <c r="L62" s="1290"/>
      <c r="M62" s="1290"/>
      <c r="N62" s="1290"/>
      <c r="O62" s="1290"/>
      <c r="P62" s="1290"/>
    </row>
    <row r="63" spans="1:16" s="1335" customFormat="1">
      <c r="A63" s="1334"/>
      <c r="B63" s="1290"/>
      <c r="C63" s="1290"/>
      <c r="G63" s="1290"/>
      <c r="H63" s="1290"/>
      <c r="I63" s="1290"/>
      <c r="J63" s="1290"/>
      <c r="K63" s="1290"/>
      <c r="L63" s="1290"/>
      <c r="M63" s="1290"/>
      <c r="N63" s="1290"/>
      <c r="O63" s="1290"/>
      <c r="P63" s="1290"/>
    </row>
    <row r="64" spans="1:16" s="1335" customFormat="1">
      <c r="A64" s="1334"/>
      <c r="B64" s="1290"/>
      <c r="C64" s="1290"/>
      <c r="G64" s="1290"/>
      <c r="H64" s="1290"/>
      <c r="I64" s="1290"/>
      <c r="J64" s="1290"/>
      <c r="K64" s="1290"/>
      <c r="L64" s="1290"/>
      <c r="M64" s="1290"/>
      <c r="N64" s="1290"/>
      <c r="O64" s="1290"/>
      <c r="P64" s="1290"/>
    </row>
    <row r="65" spans="1:16" s="1335" customFormat="1">
      <c r="A65" s="1334"/>
      <c r="B65" s="1290"/>
      <c r="C65" s="1290"/>
      <c r="G65" s="1290"/>
      <c r="H65" s="1290"/>
      <c r="I65" s="1290"/>
      <c r="J65" s="1290"/>
      <c r="K65" s="1290"/>
      <c r="L65" s="1290"/>
      <c r="M65" s="1290"/>
      <c r="N65" s="1290"/>
      <c r="O65" s="1290"/>
      <c r="P65" s="1290"/>
    </row>
    <row r="66" spans="1:16" s="1335" customFormat="1">
      <c r="A66" s="1334"/>
      <c r="B66" s="1290"/>
      <c r="C66" s="1290"/>
      <c r="G66" s="1290"/>
      <c r="H66" s="1290"/>
      <c r="I66" s="1290"/>
      <c r="J66" s="1290"/>
      <c r="K66" s="1290"/>
      <c r="L66" s="1290"/>
      <c r="M66" s="1290"/>
      <c r="N66" s="1290"/>
      <c r="O66" s="1290"/>
      <c r="P66" s="1290"/>
    </row>
    <row r="67" spans="1:16" s="1335" customFormat="1">
      <c r="A67" s="1334"/>
      <c r="B67" s="1290"/>
      <c r="C67" s="1290"/>
      <c r="G67" s="1290"/>
      <c r="H67" s="1290"/>
      <c r="I67" s="1290"/>
      <c r="J67" s="1290"/>
      <c r="K67" s="1290"/>
      <c r="L67" s="1290"/>
      <c r="M67" s="1290"/>
      <c r="N67" s="1290"/>
      <c r="O67" s="1290"/>
      <c r="P67" s="1290"/>
    </row>
    <row r="68" spans="1:16" s="1335" customFormat="1">
      <c r="A68" s="1334"/>
      <c r="B68" s="1290"/>
      <c r="C68" s="1290"/>
      <c r="G68" s="1290"/>
      <c r="H68" s="1290"/>
      <c r="I68" s="1290"/>
      <c r="J68" s="1290"/>
      <c r="K68" s="1290"/>
      <c r="L68" s="1290"/>
      <c r="M68" s="1290"/>
      <c r="N68" s="1290"/>
      <c r="O68" s="1290"/>
      <c r="P68" s="1290"/>
    </row>
    <row r="69" spans="1:16" s="1335" customFormat="1">
      <c r="A69" s="1334"/>
      <c r="B69" s="1290"/>
      <c r="C69" s="1290"/>
      <c r="G69" s="1290"/>
      <c r="H69" s="1290"/>
      <c r="I69" s="1290"/>
      <c r="J69" s="1290"/>
      <c r="K69" s="1290"/>
      <c r="L69" s="1290"/>
      <c r="M69" s="1290"/>
      <c r="N69" s="1290"/>
      <c r="O69" s="1290"/>
      <c r="P69" s="1290"/>
    </row>
    <row r="70" spans="1:16" s="1335" customFormat="1">
      <c r="A70" s="1334"/>
      <c r="B70" s="1290"/>
      <c r="C70" s="1290"/>
      <c r="G70" s="1290"/>
      <c r="H70" s="1290"/>
      <c r="I70" s="1290"/>
      <c r="J70" s="1290"/>
      <c r="K70" s="1290"/>
      <c r="L70" s="1290"/>
      <c r="M70" s="1290"/>
      <c r="N70" s="1290"/>
      <c r="O70" s="1290"/>
      <c r="P70" s="1290"/>
    </row>
    <row r="71" spans="1:16" s="1335" customFormat="1">
      <c r="A71" s="1334"/>
      <c r="B71" s="1290"/>
      <c r="C71" s="1290"/>
      <c r="G71" s="1290"/>
      <c r="H71" s="1290"/>
      <c r="I71" s="1290"/>
      <c r="J71" s="1290"/>
      <c r="K71" s="1290"/>
      <c r="L71" s="1290"/>
      <c r="M71" s="1290"/>
      <c r="N71" s="1290"/>
      <c r="O71" s="1290"/>
      <c r="P71" s="1290"/>
    </row>
    <row r="72" spans="1:16" s="1335" customFormat="1">
      <c r="A72" s="1334"/>
      <c r="B72" s="1290"/>
      <c r="C72" s="1290"/>
      <c r="G72" s="1290"/>
      <c r="H72" s="1290"/>
      <c r="I72" s="1290"/>
      <c r="J72" s="1290"/>
      <c r="K72" s="1290"/>
      <c r="L72" s="1290"/>
      <c r="M72" s="1290"/>
      <c r="N72" s="1290"/>
      <c r="O72" s="1290"/>
      <c r="P72" s="1290"/>
    </row>
    <row r="73" spans="1:16" s="1335" customFormat="1">
      <c r="A73" s="1334"/>
      <c r="B73" s="1290"/>
      <c r="C73" s="1290"/>
      <c r="G73" s="1290"/>
      <c r="H73" s="1290"/>
      <c r="I73" s="1290"/>
      <c r="J73" s="1290"/>
      <c r="K73" s="1290"/>
      <c r="L73" s="1290"/>
      <c r="M73" s="1290"/>
      <c r="N73" s="1290"/>
      <c r="O73" s="1290"/>
      <c r="P73" s="1290"/>
    </row>
    <row r="74" spans="1:16" s="1335" customFormat="1">
      <c r="A74" s="1334"/>
      <c r="B74" s="1290"/>
      <c r="C74" s="1290"/>
      <c r="G74" s="1290"/>
      <c r="H74" s="1290"/>
      <c r="I74" s="1290"/>
      <c r="J74" s="1290"/>
      <c r="K74" s="1290"/>
      <c r="L74" s="1290"/>
      <c r="M74" s="1290"/>
      <c r="N74" s="1290"/>
      <c r="O74" s="1290"/>
      <c r="P74" s="1290"/>
    </row>
    <row r="75" spans="1:16" s="1335" customFormat="1">
      <c r="A75" s="1334"/>
      <c r="B75" s="1290"/>
      <c r="C75" s="1290"/>
      <c r="G75" s="1290"/>
      <c r="H75" s="1290"/>
      <c r="I75" s="1290"/>
      <c r="J75" s="1290"/>
      <c r="K75" s="1290"/>
      <c r="L75" s="1290"/>
      <c r="M75" s="1290"/>
      <c r="N75" s="1290"/>
      <c r="O75" s="1290"/>
      <c r="P75" s="1290"/>
    </row>
    <row r="76" spans="1:16" s="1335" customFormat="1">
      <c r="A76" s="1334"/>
      <c r="B76" s="1290"/>
      <c r="C76" s="1290"/>
      <c r="G76" s="1290"/>
      <c r="H76" s="1290"/>
      <c r="I76" s="1290"/>
      <c r="J76" s="1290"/>
      <c r="K76" s="1290"/>
      <c r="L76" s="1290"/>
      <c r="M76" s="1290"/>
      <c r="N76" s="1290"/>
      <c r="O76" s="1290"/>
      <c r="P76" s="1290"/>
    </row>
    <row r="77" spans="1:16" s="1335" customFormat="1">
      <c r="A77" s="1334"/>
      <c r="B77" s="1290"/>
      <c r="C77" s="1290"/>
      <c r="G77" s="1290"/>
      <c r="H77" s="1290"/>
      <c r="I77" s="1290"/>
      <c r="J77" s="1290"/>
      <c r="K77" s="1290"/>
      <c r="L77" s="1290"/>
      <c r="M77" s="1290"/>
      <c r="N77" s="1290"/>
      <c r="O77" s="1290"/>
      <c r="P77" s="1290"/>
    </row>
    <row r="78" spans="1:16" s="1335" customFormat="1">
      <c r="A78" s="1334"/>
      <c r="B78" s="1290"/>
      <c r="C78" s="1290"/>
      <c r="G78" s="1290"/>
      <c r="H78" s="1290"/>
      <c r="I78" s="1290"/>
      <c r="J78" s="1290"/>
      <c r="K78" s="1290"/>
      <c r="L78" s="1290"/>
      <c r="M78" s="1290"/>
      <c r="N78" s="1290"/>
      <c r="O78" s="1290"/>
      <c r="P78" s="1290"/>
    </row>
    <row r="79" spans="1:16" s="1335" customFormat="1">
      <c r="A79" s="1334"/>
      <c r="B79" s="1290"/>
      <c r="C79" s="1290"/>
      <c r="G79" s="1290"/>
      <c r="H79" s="1290"/>
      <c r="I79" s="1290"/>
      <c r="J79" s="1290"/>
      <c r="K79" s="1290"/>
      <c r="L79" s="1290"/>
      <c r="M79" s="1290"/>
      <c r="N79" s="1290"/>
      <c r="O79" s="1290"/>
      <c r="P79" s="1290"/>
    </row>
    <row r="80" spans="1:16" s="1335" customFormat="1">
      <c r="A80" s="1334"/>
      <c r="B80" s="1290"/>
      <c r="C80" s="1290"/>
      <c r="G80" s="1290"/>
      <c r="H80" s="1290"/>
      <c r="I80" s="1290"/>
      <c r="J80" s="1290"/>
      <c r="K80" s="1290"/>
      <c r="L80" s="1290"/>
      <c r="M80" s="1290"/>
      <c r="N80" s="1290"/>
      <c r="O80" s="1290"/>
      <c r="P80" s="1290"/>
    </row>
    <row r="81" spans="1:16" s="1335" customFormat="1">
      <c r="A81" s="1334"/>
      <c r="B81" s="1290"/>
      <c r="C81" s="1290"/>
      <c r="G81" s="1290"/>
      <c r="H81" s="1290"/>
      <c r="I81" s="1290"/>
      <c r="J81" s="1290"/>
      <c r="K81" s="1290"/>
      <c r="L81" s="1290"/>
      <c r="M81" s="1290"/>
      <c r="N81" s="1290"/>
      <c r="O81" s="1290"/>
      <c r="P81" s="1290"/>
    </row>
    <row r="82" spans="1:16" s="1335" customFormat="1">
      <c r="A82" s="1334"/>
      <c r="B82" s="1290"/>
      <c r="C82" s="1290"/>
      <c r="G82" s="1290"/>
      <c r="H82" s="1290"/>
      <c r="I82" s="1290"/>
      <c r="J82" s="1290"/>
      <c r="K82" s="1290"/>
      <c r="L82" s="1290"/>
      <c r="M82" s="1290"/>
      <c r="N82" s="1290"/>
      <c r="O82" s="1290"/>
      <c r="P82" s="1290"/>
    </row>
    <row r="83" spans="1:16" s="1335" customFormat="1">
      <c r="A83" s="1334"/>
      <c r="B83" s="1290"/>
      <c r="C83" s="1290"/>
      <c r="G83" s="1290"/>
      <c r="H83" s="1290"/>
      <c r="I83" s="1290"/>
      <c r="J83" s="1290"/>
      <c r="K83" s="1290"/>
      <c r="L83" s="1290"/>
      <c r="M83" s="1290"/>
      <c r="N83" s="1290"/>
      <c r="O83" s="1290"/>
      <c r="P83" s="1290"/>
    </row>
    <row r="84" spans="1:16" s="1335" customFormat="1">
      <c r="A84" s="1334"/>
      <c r="B84" s="1290"/>
      <c r="C84" s="1290"/>
      <c r="G84" s="1290"/>
      <c r="H84" s="1290"/>
      <c r="I84" s="1290"/>
      <c r="J84" s="1290"/>
      <c r="K84" s="1290"/>
      <c r="L84" s="1290"/>
      <c r="M84" s="1290"/>
      <c r="N84" s="1290"/>
      <c r="O84" s="1290"/>
      <c r="P84" s="1290"/>
    </row>
    <row r="85" spans="1:16" s="1335" customFormat="1">
      <c r="A85" s="1334"/>
      <c r="B85" s="1290"/>
      <c r="C85" s="1290"/>
      <c r="G85" s="1290"/>
      <c r="H85" s="1290"/>
      <c r="I85" s="1290"/>
      <c r="J85" s="1290"/>
      <c r="K85" s="1290"/>
      <c r="L85" s="1290"/>
      <c r="M85" s="1290"/>
      <c r="N85" s="1290"/>
      <c r="O85" s="1290"/>
      <c r="P85" s="1290"/>
    </row>
    <row r="86" spans="1:16" s="1335" customFormat="1">
      <c r="A86" s="1334"/>
      <c r="B86" s="1290"/>
      <c r="C86" s="1290"/>
      <c r="G86" s="1290"/>
      <c r="H86" s="1290"/>
      <c r="I86" s="1290"/>
      <c r="J86" s="1290"/>
      <c r="K86" s="1290"/>
      <c r="L86" s="1290"/>
      <c r="M86" s="1290"/>
      <c r="N86" s="1290"/>
      <c r="O86" s="1290"/>
      <c r="P86" s="1290"/>
    </row>
    <row r="87" spans="1:16" s="1335" customFormat="1">
      <c r="A87" s="1334"/>
      <c r="B87" s="1290"/>
      <c r="C87" s="1290"/>
      <c r="G87" s="1290"/>
      <c r="H87" s="1290"/>
      <c r="I87" s="1290"/>
      <c r="J87" s="1290"/>
      <c r="K87" s="1290"/>
      <c r="L87" s="1290"/>
      <c r="M87" s="1290"/>
      <c r="N87" s="1290"/>
      <c r="O87" s="1290"/>
      <c r="P87" s="1290"/>
    </row>
    <row r="88" spans="1:16" s="1335" customFormat="1">
      <c r="A88" s="1334"/>
      <c r="B88" s="1290"/>
      <c r="C88" s="1290"/>
      <c r="G88" s="1290"/>
      <c r="H88" s="1290"/>
      <c r="I88" s="1290"/>
      <c r="J88" s="1290"/>
      <c r="K88" s="1290"/>
      <c r="L88" s="1290"/>
      <c r="M88" s="1290"/>
      <c r="N88" s="1290"/>
      <c r="O88" s="1290"/>
      <c r="P88" s="1290"/>
    </row>
    <row r="89" spans="1:16" s="1335" customFormat="1">
      <c r="A89" s="1334"/>
      <c r="B89" s="1290"/>
      <c r="C89" s="1290"/>
      <c r="G89" s="1290"/>
      <c r="H89" s="1290"/>
      <c r="I89" s="1290"/>
      <c r="J89" s="1290"/>
      <c r="K89" s="1290"/>
      <c r="L89" s="1290"/>
      <c r="M89" s="1290"/>
      <c r="N89" s="1290"/>
      <c r="O89" s="1290"/>
      <c r="P89" s="1290"/>
    </row>
    <row r="90" spans="1:16" s="1335" customFormat="1">
      <c r="A90" s="1334"/>
      <c r="B90" s="1290"/>
      <c r="C90" s="1290"/>
      <c r="G90" s="1290"/>
      <c r="H90" s="1290"/>
      <c r="I90" s="1290"/>
      <c r="J90" s="1290"/>
      <c r="K90" s="1290"/>
      <c r="L90" s="1290"/>
      <c r="M90" s="1290"/>
      <c r="N90" s="1290"/>
      <c r="O90" s="1290"/>
      <c r="P90" s="1290"/>
    </row>
    <row r="91" spans="1:16" s="1335" customFormat="1">
      <c r="A91" s="1334"/>
      <c r="B91" s="1290"/>
      <c r="C91" s="1290"/>
      <c r="G91" s="1290"/>
      <c r="H91" s="1290"/>
      <c r="I91" s="1290"/>
      <c r="J91" s="1290"/>
      <c r="K91" s="1290"/>
      <c r="L91" s="1290"/>
      <c r="M91" s="1290"/>
      <c r="N91" s="1290"/>
      <c r="O91" s="1290"/>
      <c r="P91" s="1290"/>
    </row>
    <row r="92" spans="1:16" s="1335" customFormat="1">
      <c r="A92" s="1334"/>
      <c r="B92" s="1290"/>
      <c r="C92" s="1290"/>
      <c r="G92" s="1290"/>
      <c r="H92" s="1290"/>
      <c r="I92" s="1290"/>
      <c r="J92" s="1290"/>
      <c r="K92" s="1290"/>
      <c r="L92" s="1290"/>
      <c r="M92" s="1290"/>
      <c r="N92" s="1290"/>
      <c r="O92" s="1290"/>
      <c r="P92" s="1290"/>
    </row>
    <row r="93" spans="1:16" s="1335" customFormat="1">
      <c r="A93" s="1334"/>
      <c r="B93" s="1290"/>
      <c r="C93" s="1290"/>
      <c r="G93" s="1290"/>
      <c r="H93" s="1290"/>
      <c r="I93" s="1290"/>
      <c r="J93" s="1290"/>
      <c r="K93" s="1290"/>
      <c r="L93" s="1290"/>
      <c r="M93" s="1290"/>
      <c r="N93" s="1290"/>
      <c r="O93" s="1290"/>
      <c r="P93" s="1290"/>
    </row>
    <row r="94" spans="1:16" s="1335" customFormat="1">
      <c r="A94" s="1334"/>
      <c r="B94" s="1290"/>
      <c r="C94" s="1290"/>
      <c r="G94" s="1290"/>
      <c r="H94" s="1290"/>
      <c r="I94" s="1290"/>
      <c r="J94" s="1290"/>
      <c r="K94" s="1290"/>
      <c r="L94" s="1290"/>
      <c r="M94" s="1290"/>
      <c r="N94" s="1290"/>
      <c r="O94" s="1290"/>
      <c r="P94" s="1290"/>
    </row>
    <row r="95" spans="1:16" s="1335" customFormat="1">
      <c r="A95" s="1334"/>
      <c r="B95" s="1290"/>
      <c r="C95" s="1290"/>
      <c r="G95" s="1290"/>
      <c r="H95" s="1290"/>
      <c r="I95" s="1290"/>
      <c r="J95" s="1290"/>
      <c r="K95" s="1290"/>
      <c r="L95" s="1290"/>
      <c r="M95" s="1290"/>
      <c r="N95" s="1290"/>
      <c r="O95" s="1290"/>
      <c r="P95" s="1290"/>
    </row>
    <row r="96" spans="1:16" s="1335" customFormat="1">
      <c r="A96" s="1334"/>
      <c r="B96" s="1290"/>
      <c r="C96" s="1290"/>
      <c r="G96" s="1290"/>
      <c r="H96" s="1290"/>
      <c r="I96" s="1290"/>
      <c r="J96" s="1290"/>
      <c r="K96" s="1290"/>
      <c r="L96" s="1290"/>
      <c r="M96" s="1290"/>
      <c r="N96" s="1290"/>
      <c r="O96" s="1290"/>
      <c r="P96" s="1290"/>
    </row>
    <row r="97" spans="1:16" s="1335" customFormat="1">
      <c r="A97" s="1334"/>
      <c r="B97" s="1290"/>
      <c r="C97" s="1290"/>
      <c r="G97" s="1290"/>
      <c r="H97" s="1290"/>
      <c r="I97" s="1290"/>
      <c r="J97" s="1290"/>
      <c r="K97" s="1290"/>
      <c r="L97" s="1290"/>
      <c r="M97" s="1290"/>
      <c r="N97" s="1290"/>
      <c r="O97" s="1290"/>
      <c r="P97" s="1290"/>
    </row>
    <row r="98" spans="1:16" s="1335" customFormat="1">
      <c r="A98" s="1334"/>
      <c r="B98" s="1290"/>
      <c r="C98" s="1290"/>
      <c r="G98" s="1290"/>
      <c r="H98" s="1290"/>
      <c r="I98" s="1290"/>
      <c r="J98" s="1290"/>
      <c r="K98" s="1290"/>
      <c r="L98" s="1290"/>
      <c r="M98" s="1290"/>
      <c r="N98" s="1290"/>
      <c r="O98" s="1290"/>
      <c r="P98" s="1290"/>
    </row>
    <row r="99" spans="1:16" s="1335" customFormat="1">
      <c r="A99" s="1334"/>
      <c r="B99" s="1290"/>
      <c r="C99" s="1290"/>
      <c r="G99" s="1290"/>
      <c r="H99" s="1290"/>
      <c r="I99" s="1290"/>
      <c r="J99" s="1290"/>
      <c r="K99" s="1290"/>
      <c r="L99" s="1290"/>
      <c r="M99" s="1290"/>
      <c r="N99" s="1290"/>
      <c r="O99" s="1290"/>
      <c r="P99" s="1290"/>
    </row>
    <row r="100" spans="1:16" s="1335" customFormat="1">
      <c r="A100" s="1334"/>
      <c r="B100" s="1290"/>
      <c r="C100" s="1290"/>
      <c r="G100" s="1290"/>
      <c r="H100" s="1290"/>
      <c r="I100" s="1290"/>
      <c r="J100" s="1290"/>
      <c r="K100" s="1290"/>
      <c r="L100" s="1290"/>
      <c r="M100" s="1290"/>
      <c r="N100" s="1290"/>
      <c r="O100" s="1290"/>
      <c r="P100" s="1290"/>
    </row>
    <row r="101" spans="1:16" s="1335" customFormat="1">
      <c r="A101" s="1334"/>
      <c r="B101" s="1290"/>
      <c r="C101" s="1290"/>
      <c r="G101" s="1290"/>
      <c r="H101" s="1290"/>
      <c r="I101" s="1290"/>
      <c r="J101" s="1290"/>
      <c r="K101" s="1290"/>
      <c r="L101" s="1290"/>
      <c r="M101" s="1290"/>
      <c r="N101" s="1290"/>
      <c r="O101" s="1290"/>
      <c r="P101" s="1290"/>
    </row>
    <row r="102" spans="1:16" s="1335" customFormat="1">
      <c r="A102" s="1334"/>
      <c r="B102" s="1290"/>
      <c r="C102" s="1290"/>
      <c r="G102" s="1290"/>
      <c r="H102" s="1290"/>
      <c r="I102" s="1290"/>
      <c r="J102" s="1290"/>
      <c r="K102" s="1290"/>
      <c r="L102" s="1290"/>
      <c r="M102" s="1290"/>
      <c r="N102" s="1290"/>
      <c r="O102" s="1290"/>
      <c r="P102" s="1290"/>
    </row>
    <row r="103" spans="1:16" s="1335" customFormat="1">
      <c r="A103" s="1334"/>
      <c r="B103" s="1290"/>
      <c r="C103" s="1290"/>
      <c r="G103" s="1290"/>
      <c r="H103" s="1290"/>
      <c r="I103" s="1290"/>
      <c r="J103" s="1290"/>
      <c r="K103" s="1290"/>
      <c r="L103" s="1290"/>
      <c r="M103" s="1290"/>
      <c r="N103" s="1290"/>
      <c r="O103" s="1290"/>
      <c r="P103" s="1290"/>
    </row>
    <row r="104" spans="1:16" s="1335" customFormat="1">
      <c r="A104" s="1334"/>
      <c r="B104" s="1290"/>
      <c r="C104" s="1290"/>
      <c r="G104" s="1290"/>
      <c r="H104" s="1290"/>
      <c r="I104" s="1290"/>
      <c r="J104" s="1290"/>
      <c r="K104" s="1290"/>
      <c r="L104" s="1290"/>
      <c r="M104" s="1290"/>
      <c r="N104" s="1290"/>
      <c r="O104" s="1290"/>
      <c r="P104" s="1290"/>
    </row>
    <row r="105" spans="1:16" s="1335" customFormat="1">
      <c r="A105" s="1334"/>
      <c r="B105" s="1290"/>
      <c r="C105" s="1290"/>
      <c r="G105" s="1290"/>
      <c r="H105" s="1290"/>
      <c r="I105" s="1290"/>
      <c r="J105" s="1290"/>
      <c r="K105" s="1290"/>
      <c r="L105" s="1290"/>
      <c r="M105" s="1290"/>
      <c r="N105" s="1290"/>
      <c r="O105" s="1290"/>
      <c r="P105" s="1290"/>
    </row>
    <row r="106" spans="1:16" s="1335" customFormat="1">
      <c r="A106" s="1334"/>
      <c r="B106" s="1290"/>
      <c r="C106" s="1290"/>
      <c r="G106" s="1290"/>
      <c r="H106" s="1290"/>
      <c r="I106" s="1290"/>
      <c r="J106" s="1290"/>
      <c r="K106" s="1290"/>
      <c r="L106" s="1290"/>
      <c r="M106" s="1290"/>
      <c r="N106" s="1290"/>
      <c r="O106" s="1290"/>
      <c r="P106" s="1290"/>
    </row>
    <row r="107" spans="1:16" s="1335" customFormat="1">
      <c r="A107" s="1334"/>
      <c r="B107" s="1290"/>
      <c r="C107" s="1290"/>
      <c r="G107" s="1290"/>
      <c r="H107" s="1290"/>
      <c r="I107" s="1290"/>
      <c r="J107" s="1290"/>
      <c r="K107" s="1290"/>
      <c r="L107" s="1290"/>
      <c r="M107" s="1290"/>
      <c r="N107" s="1290"/>
      <c r="O107" s="1290"/>
      <c r="P107" s="1290"/>
    </row>
    <row r="108" spans="1:16" s="1335" customFormat="1">
      <c r="A108" s="1334"/>
      <c r="B108" s="1290"/>
      <c r="C108" s="1290"/>
      <c r="G108" s="1290"/>
      <c r="H108" s="1290"/>
      <c r="I108" s="1290"/>
      <c r="J108" s="1290"/>
      <c r="K108" s="1290"/>
      <c r="L108" s="1290"/>
      <c r="M108" s="1290"/>
      <c r="N108" s="1290"/>
      <c r="O108" s="1290"/>
      <c r="P108" s="1290"/>
    </row>
    <row r="109" spans="1:16" s="1335" customFormat="1">
      <c r="A109" s="1334"/>
      <c r="B109" s="1290"/>
      <c r="C109" s="1290"/>
      <c r="G109" s="1290"/>
      <c r="H109" s="1290"/>
      <c r="I109" s="1290"/>
      <c r="J109" s="1290"/>
      <c r="K109" s="1290"/>
      <c r="L109" s="1290"/>
      <c r="M109" s="1290"/>
      <c r="N109" s="1290"/>
      <c r="O109" s="1290"/>
      <c r="P109" s="1290"/>
    </row>
    <row r="110" spans="1:16" s="1335" customFormat="1">
      <c r="A110" s="1334"/>
      <c r="B110" s="1290"/>
      <c r="C110" s="1290"/>
      <c r="G110" s="1290"/>
      <c r="H110" s="1290"/>
      <c r="I110" s="1290"/>
      <c r="J110" s="1290"/>
      <c r="K110" s="1290"/>
      <c r="L110" s="1290"/>
      <c r="M110" s="1290"/>
      <c r="N110" s="1290"/>
      <c r="O110" s="1290"/>
      <c r="P110" s="1290"/>
    </row>
    <row r="111" spans="1:16" s="1335" customFormat="1">
      <c r="A111" s="1334"/>
      <c r="B111" s="1290"/>
      <c r="C111" s="1290"/>
      <c r="G111" s="1290"/>
      <c r="H111" s="1290"/>
      <c r="I111" s="1290"/>
      <c r="J111" s="1290"/>
      <c r="K111" s="1290"/>
      <c r="L111" s="1290"/>
      <c r="M111" s="1290"/>
      <c r="N111" s="1290"/>
      <c r="O111" s="1290"/>
      <c r="P111" s="1290"/>
    </row>
    <row r="112" spans="1:16" s="1335" customFormat="1">
      <c r="A112" s="1334"/>
      <c r="B112" s="1290"/>
      <c r="C112" s="1290"/>
      <c r="G112" s="1290"/>
      <c r="H112" s="1290"/>
      <c r="I112" s="1290"/>
      <c r="J112" s="1290"/>
      <c r="K112" s="1290"/>
      <c r="L112" s="1290"/>
      <c r="M112" s="1290"/>
      <c r="N112" s="1290"/>
      <c r="O112" s="1290"/>
      <c r="P112" s="1290"/>
    </row>
    <row r="113" spans="1:16" s="1335" customFormat="1">
      <c r="A113" s="1334"/>
      <c r="B113" s="1290"/>
      <c r="C113" s="1290"/>
      <c r="G113" s="1290"/>
      <c r="H113" s="1290"/>
      <c r="I113" s="1290"/>
      <c r="J113" s="1290"/>
      <c r="K113" s="1290"/>
      <c r="L113" s="1290"/>
      <c r="M113" s="1290"/>
      <c r="N113" s="1290"/>
      <c r="O113" s="1290"/>
      <c r="P113" s="1290"/>
    </row>
    <row r="114" spans="1:16" s="1335" customFormat="1">
      <c r="A114" s="1334"/>
      <c r="B114" s="1290"/>
      <c r="C114" s="1290"/>
      <c r="G114" s="1290"/>
      <c r="H114" s="1290"/>
      <c r="I114" s="1290"/>
      <c r="J114" s="1290"/>
      <c r="K114" s="1290"/>
      <c r="L114" s="1290"/>
      <c r="M114" s="1290"/>
      <c r="N114" s="1290"/>
      <c r="O114" s="1290"/>
      <c r="P114" s="1290"/>
    </row>
    <row r="115" spans="1:16" s="1335" customFormat="1">
      <c r="A115" s="1334"/>
      <c r="B115" s="1290"/>
      <c r="C115" s="1290"/>
      <c r="G115" s="1290"/>
      <c r="H115" s="1290"/>
      <c r="I115" s="1290"/>
      <c r="J115" s="1290"/>
      <c r="K115" s="1290"/>
      <c r="L115" s="1290"/>
      <c r="M115" s="1290"/>
      <c r="N115" s="1290"/>
      <c r="O115" s="1290"/>
      <c r="P115" s="1290"/>
    </row>
    <row r="116" spans="1:16" s="1335" customFormat="1">
      <c r="A116" s="1334"/>
      <c r="B116" s="1290"/>
      <c r="C116" s="1290"/>
      <c r="G116" s="1290"/>
      <c r="H116" s="1290"/>
      <c r="I116" s="1290"/>
      <c r="J116" s="1290"/>
      <c r="K116" s="1290"/>
      <c r="L116" s="1290"/>
      <c r="M116" s="1290"/>
      <c r="N116" s="1290"/>
      <c r="O116" s="1290"/>
      <c r="P116" s="1290"/>
    </row>
    <row r="117" spans="1:16" s="1335" customFormat="1">
      <c r="A117" s="1334"/>
      <c r="B117" s="1290"/>
      <c r="C117" s="1290"/>
      <c r="G117" s="1290"/>
      <c r="H117" s="1290"/>
      <c r="I117" s="1290"/>
      <c r="J117" s="1290"/>
      <c r="K117" s="1290"/>
      <c r="L117" s="1290"/>
      <c r="M117" s="1290"/>
      <c r="N117" s="1290"/>
      <c r="O117" s="1290"/>
      <c r="P117" s="1290"/>
    </row>
    <row r="118" spans="1:16" s="1335" customFormat="1">
      <c r="A118" s="1334"/>
      <c r="B118" s="1290"/>
      <c r="C118" s="1290"/>
      <c r="G118" s="1290"/>
      <c r="H118" s="1290"/>
      <c r="I118" s="1290"/>
      <c r="J118" s="1290"/>
      <c r="K118" s="1290"/>
      <c r="L118" s="1290"/>
      <c r="M118" s="1290"/>
      <c r="N118" s="1290"/>
      <c r="O118" s="1290"/>
      <c r="P118" s="1290"/>
    </row>
    <row r="119" spans="1:16" s="1335" customFormat="1">
      <c r="A119" s="1334"/>
      <c r="B119" s="1290"/>
      <c r="C119" s="1290"/>
      <c r="G119" s="1290"/>
      <c r="H119" s="1290"/>
      <c r="I119" s="1290"/>
      <c r="J119" s="1290"/>
      <c r="K119" s="1290"/>
      <c r="L119" s="1290"/>
      <c r="M119" s="1290"/>
      <c r="N119" s="1290"/>
      <c r="O119" s="1290"/>
      <c r="P119" s="1290"/>
    </row>
    <row r="120" spans="1:16" s="1335" customFormat="1">
      <c r="A120" s="1334"/>
      <c r="B120" s="1290"/>
      <c r="C120" s="1290"/>
      <c r="G120" s="1290"/>
      <c r="H120" s="1290"/>
      <c r="I120" s="1290"/>
      <c r="J120" s="1290"/>
      <c r="K120" s="1290"/>
      <c r="L120" s="1290"/>
      <c r="M120" s="1290"/>
      <c r="N120" s="1290"/>
      <c r="O120" s="1290"/>
      <c r="P120" s="1290"/>
    </row>
    <row r="121" spans="1:16" s="1335" customFormat="1">
      <c r="A121" s="1334"/>
      <c r="B121" s="1290"/>
      <c r="C121" s="1290"/>
      <c r="G121" s="1290"/>
      <c r="H121" s="1290"/>
      <c r="I121" s="1290"/>
      <c r="J121" s="1290"/>
      <c r="K121" s="1290"/>
      <c r="L121" s="1290"/>
      <c r="M121" s="1290"/>
      <c r="N121" s="1290"/>
      <c r="O121" s="1290"/>
      <c r="P121" s="1290"/>
    </row>
    <row r="122" spans="1:16" s="1335" customFormat="1">
      <c r="A122" s="1334"/>
      <c r="B122" s="1290"/>
      <c r="C122" s="1290"/>
      <c r="G122" s="1290"/>
      <c r="H122" s="1290"/>
      <c r="I122" s="1290"/>
      <c r="J122" s="1290"/>
      <c r="K122" s="1290"/>
      <c r="L122" s="1290"/>
      <c r="M122" s="1290"/>
      <c r="N122" s="1290"/>
      <c r="O122" s="1290"/>
      <c r="P122" s="1290"/>
    </row>
    <row r="123" spans="1:16" s="1335" customFormat="1">
      <c r="A123" s="1334"/>
      <c r="B123" s="1290"/>
      <c r="C123" s="1290"/>
      <c r="G123" s="1290"/>
      <c r="H123" s="1290"/>
      <c r="I123" s="1290"/>
      <c r="J123" s="1290"/>
      <c r="K123" s="1290"/>
      <c r="L123" s="1290"/>
      <c r="M123" s="1290"/>
      <c r="N123" s="1290"/>
      <c r="O123" s="1290"/>
      <c r="P123" s="1290"/>
    </row>
    <row r="124" spans="1:16" s="1335" customFormat="1">
      <c r="A124" s="1334"/>
      <c r="B124" s="1290"/>
      <c r="C124" s="1290"/>
      <c r="G124" s="1290"/>
      <c r="H124" s="1290"/>
      <c r="I124" s="1290"/>
      <c r="J124" s="1290"/>
      <c r="K124" s="1290"/>
      <c r="L124" s="1290"/>
      <c r="M124" s="1290"/>
      <c r="N124" s="1290"/>
      <c r="O124" s="1290"/>
      <c r="P124" s="1290"/>
    </row>
    <row r="125" spans="1:16" s="1335" customFormat="1">
      <c r="A125" s="1334"/>
      <c r="B125" s="1290"/>
      <c r="C125" s="1290"/>
      <c r="G125" s="1290"/>
      <c r="H125" s="1290"/>
      <c r="I125" s="1290"/>
      <c r="J125" s="1290"/>
      <c r="K125" s="1290"/>
      <c r="L125" s="1290"/>
      <c r="M125" s="1290"/>
      <c r="N125" s="1290"/>
      <c r="O125" s="1290"/>
      <c r="P125" s="1290"/>
    </row>
    <row r="126" spans="1:16" s="1335" customFormat="1">
      <c r="A126" s="1334"/>
      <c r="B126" s="1290"/>
      <c r="C126" s="1290"/>
      <c r="G126" s="1290"/>
      <c r="H126" s="1290"/>
      <c r="I126" s="1290"/>
      <c r="J126" s="1290"/>
      <c r="K126" s="1290"/>
      <c r="L126" s="1290"/>
      <c r="M126" s="1290"/>
      <c r="N126" s="1290"/>
      <c r="O126" s="1290"/>
      <c r="P126" s="1290"/>
    </row>
    <row r="127" spans="1:16" s="1335" customFormat="1">
      <c r="A127" s="1334"/>
      <c r="B127" s="1290"/>
      <c r="C127" s="1290"/>
      <c r="G127" s="1290"/>
      <c r="H127" s="1290"/>
      <c r="I127" s="1290"/>
      <c r="J127" s="1290"/>
      <c r="K127" s="1290"/>
      <c r="L127" s="1290"/>
      <c r="M127" s="1290"/>
      <c r="N127" s="1290"/>
      <c r="O127" s="1290"/>
      <c r="P127" s="1290"/>
    </row>
    <row r="128" spans="1:16" s="1335" customFormat="1">
      <c r="A128" s="1334"/>
      <c r="B128" s="1290"/>
      <c r="C128" s="1290"/>
      <c r="G128" s="1290"/>
      <c r="H128" s="1290"/>
      <c r="I128" s="1290"/>
      <c r="J128" s="1290"/>
      <c r="K128" s="1290"/>
      <c r="L128" s="1290"/>
      <c r="M128" s="1290"/>
      <c r="N128" s="1290"/>
      <c r="O128" s="1290"/>
      <c r="P128" s="1290"/>
    </row>
    <row r="129" spans="1:16" s="1335" customFormat="1">
      <c r="A129" s="1334"/>
      <c r="B129" s="1290"/>
      <c r="C129" s="1290"/>
      <c r="G129" s="1290"/>
      <c r="H129" s="1290"/>
      <c r="I129" s="1290"/>
      <c r="J129" s="1290"/>
      <c r="K129" s="1290"/>
      <c r="L129" s="1290"/>
      <c r="M129" s="1290"/>
      <c r="N129" s="1290"/>
      <c r="O129" s="1290"/>
      <c r="P129" s="1290"/>
    </row>
    <row r="130" spans="1:16" s="1335" customFormat="1">
      <c r="A130" s="1334"/>
      <c r="B130" s="1290"/>
      <c r="C130" s="1290"/>
      <c r="G130" s="1290"/>
      <c r="H130" s="1290"/>
      <c r="I130" s="1290"/>
      <c r="J130" s="1290"/>
      <c r="K130" s="1290"/>
      <c r="L130" s="1290"/>
      <c r="M130" s="1290"/>
      <c r="N130" s="1290"/>
      <c r="O130" s="1290"/>
      <c r="P130" s="1290"/>
    </row>
    <row r="131" spans="1:16" s="1335" customFormat="1">
      <c r="A131" s="1334"/>
      <c r="B131" s="1290"/>
      <c r="C131" s="1290"/>
      <c r="G131" s="1290"/>
      <c r="H131" s="1290"/>
      <c r="I131" s="1290"/>
      <c r="J131" s="1290"/>
      <c r="K131" s="1290"/>
      <c r="L131" s="1290"/>
      <c r="M131" s="1290"/>
      <c r="N131" s="1290"/>
      <c r="O131" s="1290"/>
      <c r="P131" s="1290"/>
    </row>
    <row r="132" spans="1:16" s="1335" customFormat="1">
      <c r="A132" s="1334"/>
      <c r="B132" s="1290"/>
      <c r="C132" s="1290"/>
      <c r="G132" s="1290"/>
      <c r="H132" s="1290"/>
      <c r="I132" s="1290"/>
      <c r="J132" s="1290"/>
      <c r="K132" s="1290"/>
      <c r="L132" s="1290"/>
      <c r="M132" s="1290"/>
      <c r="N132" s="1290"/>
      <c r="O132" s="1290"/>
      <c r="P132" s="1290"/>
    </row>
    <row r="133" spans="1:16" s="1335" customFormat="1">
      <c r="A133" s="1334"/>
      <c r="B133" s="1290"/>
      <c r="C133" s="1290"/>
      <c r="G133" s="1290"/>
      <c r="H133" s="1290"/>
      <c r="I133" s="1290"/>
      <c r="J133" s="1290"/>
      <c r="K133" s="1290"/>
      <c r="L133" s="1290"/>
      <c r="M133" s="1290"/>
      <c r="N133" s="1290"/>
      <c r="O133" s="1290"/>
      <c r="P133" s="1290"/>
    </row>
    <row r="134" spans="1:16" s="1335" customFormat="1">
      <c r="A134" s="1334"/>
      <c r="B134" s="1290"/>
      <c r="C134" s="1290"/>
      <c r="G134" s="1290"/>
      <c r="H134" s="1290"/>
      <c r="I134" s="1290"/>
      <c r="J134" s="1290"/>
      <c r="K134" s="1290"/>
      <c r="L134" s="1290"/>
      <c r="M134" s="1290"/>
      <c r="N134" s="1290"/>
      <c r="O134" s="1290"/>
      <c r="P134" s="1290"/>
    </row>
    <row r="135" spans="1:16" s="1335" customFormat="1">
      <c r="A135" s="1334"/>
      <c r="B135" s="1290"/>
      <c r="C135" s="1290"/>
      <c r="G135" s="1290"/>
      <c r="H135" s="1290"/>
      <c r="I135" s="1290"/>
      <c r="J135" s="1290"/>
      <c r="K135" s="1290"/>
      <c r="L135" s="1290"/>
      <c r="M135" s="1290"/>
      <c r="N135" s="1290"/>
      <c r="O135" s="1290"/>
      <c r="P135" s="1290"/>
    </row>
    <row r="136" spans="1:16" s="1335" customFormat="1">
      <c r="A136" s="1334"/>
      <c r="B136" s="1290"/>
      <c r="C136" s="1290"/>
      <c r="G136" s="1290"/>
      <c r="H136" s="1290"/>
      <c r="I136" s="1290"/>
      <c r="J136" s="1290"/>
      <c r="K136" s="1290"/>
      <c r="L136" s="1290"/>
      <c r="M136" s="1290"/>
      <c r="N136" s="1290"/>
      <c r="O136" s="1290"/>
      <c r="P136" s="1290"/>
    </row>
    <row r="137" spans="1:16" s="1335" customFormat="1">
      <c r="A137" s="1334"/>
      <c r="B137" s="1290"/>
      <c r="C137" s="1290"/>
      <c r="G137" s="1290"/>
      <c r="H137" s="1290"/>
      <c r="I137" s="1290"/>
      <c r="J137" s="1290"/>
      <c r="K137" s="1290"/>
      <c r="L137" s="1290"/>
      <c r="M137" s="1290"/>
      <c r="N137" s="1290"/>
      <c r="O137" s="1290"/>
      <c r="P137" s="1290"/>
    </row>
    <row r="138" spans="1:16" s="1335" customFormat="1">
      <c r="A138" s="1334"/>
      <c r="B138" s="1290"/>
      <c r="C138" s="1290"/>
      <c r="G138" s="1290"/>
      <c r="H138" s="1290"/>
      <c r="I138" s="1290"/>
      <c r="J138" s="1290"/>
      <c r="K138" s="1290"/>
      <c r="L138" s="1290"/>
      <c r="M138" s="1290"/>
      <c r="N138" s="1290"/>
      <c r="O138" s="1290"/>
      <c r="P138" s="1290"/>
    </row>
    <row r="139" spans="1:16" s="1335" customFormat="1">
      <c r="A139" s="1334"/>
      <c r="B139" s="1290"/>
      <c r="C139" s="1290"/>
      <c r="G139" s="1290"/>
      <c r="H139" s="1290"/>
      <c r="I139" s="1290"/>
      <c r="J139" s="1290"/>
      <c r="K139" s="1290"/>
      <c r="L139" s="1290"/>
      <c r="M139" s="1290"/>
      <c r="N139" s="1290"/>
      <c r="O139" s="1290"/>
      <c r="P139" s="1290"/>
    </row>
    <row r="140" spans="1:16" s="1335" customFormat="1">
      <c r="A140" s="1334"/>
      <c r="B140" s="1290"/>
      <c r="C140" s="1290"/>
      <c r="G140" s="1290"/>
      <c r="H140" s="1290"/>
      <c r="I140" s="1290"/>
      <c r="J140" s="1290"/>
      <c r="K140" s="1290"/>
      <c r="L140" s="1290"/>
      <c r="M140" s="1290"/>
      <c r="N140" s="1290"/>
      <c r="O140" s="1290"/>
      <c r="P140" s="1290"/>
    </row>
    <row r="141" spans="1:16" s="1335" customFormat="1">
      <c r="A141" s="1334"/>
      <c r="B141" s="1290"/>
      <c r="C141" s="1290"/>
      <c r="G141" s="1290"/>
      <c r="H141" s="1290"/>
      <c r="I141" s="1290"/>
      <c r="J141" s="1290"/>
      <c r="K141" s="1290"/>
      <c r="L141" s="1290"/>
      <c r="M141" s="1290"/>
      <c r="N141" s="1290"/>
      <c r="O141" s="1290"/>
      <c r="P141" s="1290"/>
    </row>
    <row r="142" spans="1:16" s="1335" customFormat="1">
      <c r="A142" s="1334"/>
      <c r="B142" s="1290"/>
      <c r="C142" s="1290"/>
      <c r="G142" s="1290"/>
      <c r="H142" s="1290"/>
      <c r="I142" s="1290"/>
      <c r="J142" s="1290"/>
      <c r="K142" s="1290"/>
      <c r="L142" s="1290"/>
      <c r="M142" s="1290"/>
      <c r="N142" s="1290"/>
      <c r="O142" s="1290"/>
      <c r="P142" s="1290"/>
    </row>
    <row r="143" spans="1:16" s="1335" customFormat="1">
      <c r="A143" s="1334"/>
      <c r="B143" s="1290"/>
      <c r="C143" s="1290"/>
      <c r="G143" s="1290"/>
      <c r="H143" s="1290"/>
      <c r="I143" s="1290"/>
      <c r="J143" s="1290"/>
      <c r="K143" s="1290"/>
      <c r="L143" s="1290"/>
      <c r="M143" s="1290"/>
      <c r="N143" s="1290"/>
      <c r="O143" s="1290"/>
      <c r="P143" s="1290"/>
    </row>
    <row r="144" spans="1:16" s="1335" customFormat="1">
      <c r="A144" s="1334"/>
      <c r="B144" s="1290"/>
      <c r="C144" s="1290"/>
      <c r="G144" s="1290"/>
      <c r="H144" s="1290"/>
      <c r="I144" s="1290"/>
      <c r="J144" s="1290"/>
      <c r="K144" s="1290"/>
      <c r="L144" s="1290"/>
      <c r="M144" s="1290"/>
      <c r="N144" s="1290"/>
      <c r="O144" s="1290"/>
      <c r="P144" s="1290"/>
    </row>
    <row r="145" spans="1:16" s="1335" customFormat="1">
      <c r="A145" s="1334"/>
      <c r="B145" s="1290"/>
      <c r="C145" s="1290"/>
      <c r="G145" s="1290"/>
      <c r="H145" s="1290"/>
      <c r="I145" s="1290"/>
      <c r="J145" s="1290"/>
      <c r="K145" s="1290"/>
      <c r="L145" s="1290"/>
      <c r="M145" s="1290"/>
      <c r="N145" s="1290"/>
      <c r="O145" s="1290"/>
      <c r="P145" s="1290"/>
    </row>
    <row r="146" spans="1:16" s="1335" customFormat="1">
      <c r="A146" s="1334"/>
      <c r="B146" s="1290"/>
      <c r="C146" s="1290"/>
      <c r="G146" s="1290"/>
      <c r="H146" s="1290"/>
      <c r="I146" s="1290"/>
      <c r="J146" s="1290"/>
      <c r="K146" s="1290"/>
      <c r="L146" s="1290"/>
      <c r="M146" s="1290"/>
      <c r="N146" s="1290"/>
      <c r="O146" s="1290"/>
      <c r="P146" s="1290"/>
    </row>
    <row r="147" spans="1:16" s="1335" customFormat="1">
      <c r="A147" s="1334"/>
      <c r="B147" s="1290"/>
      <c r="C147" s="1290"/>
      <c r="G147" s="1290"/>
      <c r="H147" s="1290"/>
      <c r="I147" s="1290"/>
      <c r="J147" s="1290"/>
      <c r="K147" s="1290"/>
      <c r="L147" s="1290"/>
      <c r="M147" s="1290"/>
      <c r="N147" s="1290"/>
      <c r="O147" s="1290"/>
      <c r="P147" s="1290"/>
    </row>
    <row r="148" spans="1:16" s="1335" customFormat="1">
      <c r="A148" s="1334"/>
      <c r="B148" s="1290"/>
      <c r="C148" s="1290"/>
      <c r="G148" s="1290"/>
      <c r="H148" s="1290"/>
      <c r="I148" s="1290"/>
      <c r="J148" s="1290"/>
      <c r="K148" s="1290"/>
      <c r="L148" s="1290"/>
      <c r="M148" s="1290"/>
      <c r="N148" s="1290"/>
      <c r="O148" s="1290"/>
      <c r="P148" s="1290"/>
    </row>
    <row r="149" spans="1:16" s="1335" customFormat="1">
      <c r="A149" s="1334"/>
      <c r="B149" s="1290"/>
      <c r="C149" s="1290"/>
      <c r="G149" s="1290"/>
      <c r="H149" s="1290"/>
      <c r="I149" s="1290"/>
      <c r="J149" s="1290"/>
      <c r="K149" s="1290"/>
      <c r="L149" s="1290"/>
      <c r="M149" s="1290"/>
      <c r="N149" s="1290"/>
      <c r="O149" s="1290"/>
      <c r="P149" s="1290"/>
    </row>
    <row r="150" spans="1:16" s="1335" customFormat="1">
      <c r="A150" s="1334"/>
      <c r="B150" s="1290"/>
      <c r="C150" s="1290"/>
      <c r="G150" s="1290"/>
      <c r="H150" s="1290"/>
      <c r="I150" s="1290"/>
      <c r="J150" s="1290"/>
      <c r="K150" s="1290"/>
      <c r="L150" s="1290"/>
      <c r="M150" s="1290"/>
      <c r="N150" s="1290"/>
      <c r="O150" s="1290"/>
      <c r="P150" s="1290"/>
    </row>
    <row r="151" spans="1:16" s="1335" customFormat="1">
      <c r="A151" s="1334"/>
      <c r="B151" s="1290"/>
      <c r="C151" s="1290"/>
      <c r="G151" s="1290"/>
      <c r="H151" s="1290"/>
      <c r="I151" s="1290"/>
      <c r="J151" s="1290"/>
      <c r="K151" s="1290"/>
      <c r="L151" s="1290"/>
      <c r="M151" s="1290"/>
      <c r="N151" s="1290"/>
      <c r="O151" s="1290"/>
      <c r="P151" s="1290"/>
    </row>
    <row r="152" spans="1:16" s="1335" customFormat="1">
      <c r="A152" s="1334"/>
      <c r="B152" s="1290"/>
      <c r="C152" s="1290"/>
      <c r="G152" s="1290"/>
      <c r="H152" s="1290"/>
      <c r="I152" s="1290"/>
      <c r="J152" s="1290"/>
      <c r="K152" s="1290"/>
      <c r="L152" s="1290"/>
      <c r="M152" s="1290"/>
      <c r="N152" s="1290"/>
      <c r="O152" s="1290"/>
      <c r="P152" s="1290"/>
    </row>
    <row r="153" spans="1:16" s="1335" customFormat="1">
      <c r="A153" s="1334"/>
      <c r="B153" s="1290"/>
      <c r="C153" s="1290"/>
      <c r="G153" s="1290"/>
      <c r="H153" s="1290"/>
      <c r="I153" s="1290"/>
      <c r="J153" s="1290"/>
      <c r="K153" s="1290"/>
      <c r="L153" s="1290"/>
      <c r="M153" s="1290"/>
      <c r="N153" s="1290"/>
      <c r="O153" s="1290"/>
      <c r="P153" s="1290"/>
    </row>
    <row r="154" spans="1:16" s="1335" customFormat="1">
      <c r="A154" s="1334"/>
      <c r="B154" s="1290"/>
      <c r="C154" s="1290"/>
      <c r="G154" s="1290"/>
      <c r="H154" s="1290"/>
      <c r="I154" s="1290"/>
      <c r="J154" s="1290"/>
      <c r="K154" s="1290"/>
      <c r="L154" s="1290"/>
      <c r="M154" s="1290"/>
      <c r="N154" s="1290"/>
      <c r="O154" s="1290"/>
      <c r="P154" s="1290"/>
    </row>
    <row r="155" spans="1:16" s="1335" customFormat="1">
      <c r="A155" s="1334"/>
      <c r="B155" s="1290"/>
      <c r="C155" s="1290"/>
      <c r="G155" s="1290"/>
      <c r="H155" s="1290"/>
      <c r="I155" s="1290"/>
      <c r="J155" s="1290"/>
      <c r="K155" s="1290"/>
      <c r="L155" s="1290"/>
      <c r="M155" s="1290"/>
      <c r="N155" s="1290"/>
      <c r="O155" s="1290"/>
      <c r="P155" s="1290"/>
    </row>
    <row r="156" spans="1:16" s="1335" customFormat="1">
      <c r="A156" s="1334"/>
      <c r="B156" s="1290"/>
      <c r="C156" s="1290"/>
      <c r="G156" s="1290"/>
      <c r="H156" s="1290"/>
      <c r="I156" s="1290"/>
      <c r="J156" s="1290"/>
      <c r="K156" s="1290"/>
      <c r="L156" s="1290"/>
      <c r="M156" s="1290"/>
      <c r="N156" s="1290"/>
      <c r="O156" s="1290"/>
      <c r="P156" s="1290"/>
    </row>
    <row r="157" spans="1:16" s="1335" customFormat="1">
      <c r="A157" s="1334"/>
      <c r="B157" s="1290"/>
      <c r="C157" s="1290"/>
      <c r="G157" s="1290"/>
      <c r="H157" s="1290"/>
      <c r="I157" s="1290"/>
      <c r="J157" s="1290"/>
      <c r="K157" s="1290"/>
      <c r="L157" s="1290"/>
      <c r="M157" s="1290"/>
      <c r="N157" s="1290"/>
      <c r="O157" s="1290"/>
      <c r="P157" s="1290"/>
    </row>
    <row r="158" spans="1:16" s="1335" customFormat="1">
      <c r="A158" s="1334"/>
      <c r="B158" s="1290"/>
      <c r="C158" s="1290"/>
      <c r="G158" s="1290"/>
      <c r="H158" s="1290"/>
      <c r="I158" s="1290"/>
      <c r="J158" s="1290"/>
      <c r="K158" s="1290"/>
      <c r="L158" s="1290"/>
      <c r="M158" s="1290"/>
      <c r="N158" s="1290"/>
      <c r="O158" s="1290"/>
      <c r="P158" s="1290"/>
    </row>
    <row r="159" spans="1:16" s="1335" customFormat="1">
      <c r="A159" s="1334"/>
      <c r="B159" s="1290"/>
      <c r="C159" s="1290"/>
      <c r="G159" s="1290"/>
      <c r="H159" s="1290"/>
      <c r="I159" s="1290"/>
      <c r="J159" s="1290"/>
      <c r="K159" s="1290"/>
      <c r="L159" s="1290"/>
      <c r="M159" s="1290"/>
      <c r="N159" s="1290"/>
      <c r="O159" s="1290"/>
      <c r="P159" s="1290"/>
    </row>
    <row r="160" spans="1:16" s="1335" customFormat="1">
      <c r="A160" s="1334"/>
      <c r="B160" s="1290"/>
      <c r="C160" s="1290"/>
      <c r="G160" s="1290"/>
      <c r="H160" s="1290"/>
      <c r="I160" s="1290"/>
      <c r="J160" s="1290"/>
      <c r="K160" s="1290"/>
      <c r="L160" s="1290"/>
      <c r="M160" s="1290"/>
      <c r="N160" s="1290"/>
      <c r="O160" s="1290"/>
      <c r="P160" s="1290"/>
    </row>
    <row r="161" spans="1:16" s="1335" customFormat="1">
      <c r="A161" s="1334"/>
      <c r="B161" s="1290"/>
      <c r="C161" s="1290"/>
      <c r="G161" s="1290"/>
      <c r="H161" s="1290"/>
      <c r="I161" s="1290"/>
      <c r="J161" s="1290"/>
      <c r="K161" s="1290"/>
      <c r="L161" s="1290"/>
      <c r="M161" s="1290"/>
      <c r="N161" s="1290"/>
      <c r="O161" s="1290"/>
      <c r="P161" s="1290"/>
    </row>
    <row r="162" spans="1:16" s="1335" customFormat="1">
      <c r="A162" s="1334"/>
      <c r="B162" s="1290"/>
      <c r="C162" s="1290"/>
      <c r="G162" s="1290"/>
      <c r="H162" s="1290"/>
      <c r="I162" s="1290"/>
      <c r="J162" s="1290"/>
      <c r="K162" s="1290"/>
      <c r="L162" s="1290"/>
      <c r="M162" s="1290"/>
      <c r="N162" s="1290"/>
      <c r="O162" s="1290"/>
      <c r="P162" s="1290"/>
    </row>
    <row r="163" spans="1:16" s="1335" customFormat="1">
      <c r="A163" s="1334"/>
      <c r="B163" s="1290"/>
      <c r="C163" s="1290"/>
      <c r="G163" s="1290"/>
      <c r="H163" s="1290"/>
      <c r="I163" s="1290"/>
      <c r="J163" s="1290"/>
      <c r="K163" s="1290"/>
      <c r="L163" s="1290"/>
      <c r="M163" s="1290"/>
      <c r="N163" s="1290"/>
      <c r="O163" s="1290"/>
      <c r="P163" s="1290"/>
    </row>
    <row r="164" spans="1:16" s="1335" customFormat="1">
      <c r="A164" s="1334"/>
      <c r="B164" s="1290"/>
      <c r="C164" s="1290"/>
      <c r="G164" s="1290"/>
      <c r="H164" s="1290"/>
      <c r="I164" s="1290"/>
      <c r="J164" s="1290"/>
      <c r="K164" s="1290"/>
      <c r="L164" s="1290"/>
      <c r="M164" s="1290"/>
      <c r="N164" s="1290"/>
      <c r="O164" s="1290"/>
      <c r="P164" s="1290"/>
    </row>
    <row r="165" spans="1:16" s="1335" customFormat="1">
      <c r="A165" s="1334"/>
      <c r="B165" s="1290"/>
      <c r="C165" s="1290"/>
      <c r="G165" s="1290"/>
      <c r="H165" s="1290"/>
      <c r="I165" s="1290"/>
      <c r="J165" s="1290"/>
      <c r="K165" s="1290"/>
      <c r="L165" s="1290"/>
      <c r="M165" s="1290"/>
      <c r="N165" s="1290"/>
      <c r="O165" s="1290"/>
      <c r="P165" s="1290"/>
    </row>
    <row r="166" spans="1:16" s="1335" customFormat="1">
      <c r="A166" s="1334"/>
      <c r="B166" s="1290"/>
      <c r="C166" s="1290"/>
      <c r="G166" s="1290"/>
      <c r="H166" s="1290"/>
      <c r="I166" s="1290"/>
      <c r="J166" s="1290"/>
      <c r="K166" s="1290"/>
      <c r="L166" s="1290"/>
      <c r="M166" s="1290"/>
      <c r="N166" s="1290"/>
      <c r="O166" s="1290"/>
      <c r="P166" s="1290"/>
    </row>
    <row r="167" spans="1:16" s="1335" customFormat="1">
      <c r="A167" s="1334"/>
      <c r="B167" s="1290"/>
      <c r="C167" s="1290"/>
      <c r="G167" s="1290"/>
      <c r="H167" s="1290"/>
      <c r="I167" s="1290"/>
      <c r="J167" s="1290"/>
      <c r="K167" s="1290"/>
      <c r="L167" s="1290"/>
      <c r="M167" s="1290"/>
      <c r="N167" s="1290"/>
      <c r="O167" s="1290"/>
      <c r="P167" s="1290"/>
    </row>
    <row r="168" spans="1:16" s="1335" customFormat="1">
      <c r="A168" s="1334"/>
      <c r="B168" s="1290"/>
      <c r="C168" s="1290"/>
      <c r="G168" s="1290"/>
      <c r="H168" s="1290"/>
      <c r="I168" s="1290"/>
      <c r="J168" s="1290"/>
      <c r="K168" s="1290"/>
      <c r="L168" s="1290"/>
      <c r="M168" s="1290"/>
      <c r="N168" s="1290"/>
      <c r="O168" s="1290"/>
      <c r="P168" s="1290"/>
    </row>
    <row r="169" spans="1:16" s="1335" customFormat="1">
      <c r="A169" s="1334"/>
      <c r="B169" s="1290"/>
      <c r="C169" s="1290"/>
      <c r="G169" s="1290"/>
      <c r="H169" s="1290"/>
      <c r="I169" s="1290"/>
      <c r="J169" s="1290"/>
      <c r="K169" s="1290"/>
      <c r="L169" s="1290"/>
      <c r="M169" s="1290"/>
      <c r="N169" s="1290"/>
      <c r="O169" s="1290"/>
      <c r="P169" s="1290"/>
    </row>
    <row r="170" spans="1:16" s="1335" customFormat="1">
      <c r="A170" s="1334"/>
      <c r="B170" s="1290"/>
      <c r="C170" s="1290"/>
      <c r="G170" s="1290"/>
      <c r="H170" s="1290"/>
      <c r="I170" s="1290"/>
      <c r="J170" s="1290"/>
      <c r="K170" s="1290"/>
      <c r="L170" s="1290"/>
      <c r="M170" s="1290"/>
      <c r="N170" s="1290"/>
      <c r="O170" s="1290"/>
      <c r="P170" s="1290"/>
    </row>
    <row r="171" spans="1:16" s="1335" customFormat="1">
      <c r="A171" s="1334"/>
      <c r="B171" s="1290"/>
      <c r="C171" s="1290"/>
      <c r="G171" s="1290"/>
      <c r="H171" s="1290"/>
      <c r="I171" s="1290"/>
      <c r="J171" s="1290"/>
      <c r="K171" s="1290"/>
      <c r="L171" s="1290"/>
      <c r="M171" s="1290"/>
      <c r="N171" s="1290"/>
      <c r="O171" s="1290"/>
      <c r="P171" s="1290"/>
    </row>
    <row r="172" spans="1:16" s="1335" customFormat="1">
      <c r="A172" s="1334"/>
      <c r="B172" s="1290"/>
      <c r="C172" s="1290"/>
      <c r="G172" s="1290"/>
      <c r="H172" s="1290"/>
      <c r="I172" s="1290"/>
      <c r="J172" s="1290"/>
      <c r="K172" s="1290"/>
      <c r="L172" s="1290"/>
      <c r="M172" s="1290"/>
      <c r="N172" s="1290"/>
      <c r="O172" s="1290"/>
      <c r="P172" s="1290"/>
    </row>
    <row r="173" spans="1:16" s="1335" customFormat="1">
      <c r="A173" s="1334"/>
      <c r="B173" s="1290"/>
      <c r="C173" s="1290"/>
      <c r="G173" s="1290"/>
      <c r="H173" s="1290"/>
      <c r="I173" s="1290"/>
      <c r="J173" s="1290"/>
      <c r="K173" s="1290"/>
      <c r="L173" s="1290"/>
      <c r="M173" s="1290"/>
      <c r="N173" s="1290"/>
      <c r="O173" s="1290"/>
      <c r="P173" s="1290"/>
    </row>
    <row r="174" spans="1:16" s="1335" customFormat="1">
      <c r="A174" s="1334"/>
      <c r="B174" s="1290"/>
      <c r="C174" s="1290"/>
      <c r="G174" s="1290"/>
      <c r="H174" s="1290"/>
      <c r="I174" s="1290"/>
      <c r="J174" s="1290"/>
      <c r="K174" s="1290"/>
      <c r="L174" s="1290"/>
      <c r="M174" s="1290"/>
      <c r="N174" s="1290"/>
      <c r="O174" s="1290"/>
      <c r="P174" s="1290"/>
    </row>
    <row r="175" spans="1:16" s="1335" customFormat="1">
      <c r="A175" s="1334"/>
      <c r="B175" s="1290"/>
      <c r="C175" s="1290"/>
      <c r="G175" s="1290"/>
      <c r="H175" s="1290"/>
      <c r="I175" s="1290"/>
      <c r="J175" s="1290"/>
      <c r="K175" s="1290"/>
      <c r="L175" s="1290"/>
      <c r="M175" s="1290"/>
      <c r="N175" s="1290"/>
      <c r="O175" s="1290"/>
      <c r="P175" s="1290"/>
    </row>
    <row r="176" spans="1:16" s="1335" customFormat="1">
      <c r="A176" s="1334"/>
      <c r="B176" s="1290"/>
      <c r="C176" s="1290"/>
      <c r="G176" s="1290"/>
      <c r="H176" s="1290"/>
      <c r="I176" s="1290"/>
      <c r="J176" s="1290"/>
      <c r="K176" s="1290"/>
      <c r="L176" s="1290"/>
      <c r="M176" s="1290"/>
      <c r="N176" s="1290"/>
      <c r="O176" s="1290"/>
      <c r="P176" s="1290"/>
    </row>
    <row r="177" spans="1:16" s="1335" customFormat="1">
      <c r="A177" s="1334"/>
      <c r="B177" s="1290"/>
      <c r="C177" s="1290"/>
      <c r="G177" s="1290"/>
      <c r="H177" s="1290"/>
      <c r="I177" s="1290"/>
      <c r="J177" s="1290"/>
      <c r="K177" s="1290"/>
      <c r="L177" s="1290"/>
      <c r="M177" s="1290"/>
      <c r="N177" s="1290"/>
      <c r="O177" s="1290"/>
      <c r="P177" s="1290"/>
    </row>
    <row r="178" spans="1:16" s="1335" customFormat="1">
      <c r="A178" s="1334"/>
      <c r="B178" s="1290"/>
      <c r="C178" s="1290"/>
      <c r="G178" s="1290"/>
      <c r="H178" s="1290"/>
      <c r="I178" s="1290"/>
      <c r="J178" s="1290"/>
      <c r="K178" s="1290"/>
      <c r="L178" s="1290"/>
      <c r="M178" s="1290"/>
      <c r="N178" s="1290"/>
      <c r="O178" s="1290"/>
      <c r="P178" s="1290"/>
    </row>
    <row r="179" spans="1:16" s="1335" customFormat="1">
      <c r="A179" s="1334"/>
      <c r="B179" s="1290"/>
      <c r="C179" s="1290"/>
      <c r="G179" s="1290"/>
      <c r="H179" s="1290"/>
      <c r="I179" s="1290"/>
      <c r="J179" s="1290"/>
      <c r="K179" s="1290"/>
      <c r="L179" s="1290"/>
      <c r="M179" s="1290"/>
      <c r="N179" s="1290"/>
      <c r="O179" s="1290"/>
      <c r="P179" s="1290"/>
    </row>
    <row r="180" spans="1:16" s="1335" customFormat="1">
      <c r="A180" s="1334"/>
      <c r="B180" s="1290"/>
      <c r="C180" s="1290"/>
      <c r="G180" s="1290"/>
      <c r="H180" s="1290"/>
      <c r="I180" s="1290"/>
      <c r="J180" s="1290"/>
      <c r="K180" s="1290"/>
      <c r="L180" s="1290"/>
      <c r="M180" s="1290"/>
      <c r="N180" s="1290"/>
      <c r="O180" s="1290"/>
      <c r="P180" s="1290"/>
    </row>
    <row r="181" spans="1:16" s="1335" customFormat="1">
      <c r="A181" s="1334"/>
      <c r="B181" s="1290"/>
      <c r="C181" s="1290"/>
      <c r="G181" s="1290"/>
      <c r="H181" s="1290"/>
      <c r="I181" s="1290"/>
      <c r="J181" s="1290"/>
      <c r="K181" s="1290"/>
      <c r="L181" s="1290"/>
      <c r="M181" s="1290"/>
      <c r="N181" s="1290"/>
      <c r="O181" s="1290"/>
      <c r="P181" s="1290"/>
    </row>
    <row r="182" spans="1:16" s="1335" customFormat="1">
      <c r="A182" s="1334"/>
      <c r="B182" s="1290"/>
      <c r="C182" s="1290"/>
      <c r="G182" s="1290"/>
      <c r="H182" s="1290"/>
      <c r="I182" s="1290"/>
      <c r="J182" s="1290"/>
      <c r="K182" s="1290"/>
      <c r="L182" s="1290"/>
      <c r="M182" s="1290"/>
      <c r="N182" s="1290"/>
      <c r="O182" s="1290"/>
      <c r="P182" s="1290"/>
    </row>
    <row r="183" spans="1:16" s="1335" customFormat="1">
      <c r="A183" s="1334"/>
      <c r="B183" s="1290"/>
      <c r="C183" s="1290"/>
      <c r="G183" s="1290"/>
      <c r="H183" s="1290"/>
      <c r="I183" s="1290"/>
      <c r="J183" s="1290"/>
      <c r="K183" s="1290"/>
      <c r="L183" s="1290"/>
      <c r="M183" s="1290"/>
      <c r="N183" s="1290"/>
      <c r="O183" s="1290"/>
      <c r="P183" s="1290"/>
    </row>
    <row r="184" spans="1:16" s="1335" customFormat="1">
      <c r="A184" s="1334"/>
      <c r="B184" s="1290"/>
      <c r="C184" s="1290"/>
      <c r="G184" s="1290"/>
      <c r="H184" s="1290"/>
      <c r="I184" s="1290"/>
      <c r="J184" s="1290"/>
      <c r="K184" s="1290"/>
      <c r="L184" s="1290"/>
      <c r="M184" s="1290"/>
      <c r="N184" s="1290"/>
      <c r="O184" s="1290"/>
      <c r="P184" s="1290"/>
    </row>
    <row r="185" spans="1:16" s="1335" customFormat="1">
      <c r="A185" s="1334"/>
      <c r="B185" s="1290"/>
      <c r="C185" s="1290"/>
      <c r="G185" s="1290"/>
      <c r="H185" s="1290"/>
      <c r="I185" s="1290"/>
      <c r="J185" s="1290"/>
      <c r="K185" s="1290"/>
      <c r="L185" s="1290"/>
      <c r="M185" s="1290"/>
      <c r="N185" s="1290"/>
      <c r="O185" s="1290"/>
      <c r="P185" s="1290"/>
    </row>
    <row r="186" spans="1:16" s="1335" customFormat="1">
      <c r="A186" s="1334"/>
      <c r="B186" s="1290"/>
      <c r="C186" s="1290"/>
      <c r="G186" s="1290"/>
      <c r="H186" s="1290"/>
      <c r="I186" s="1290"/>
      <c r="J186" s="1290"/>
      <c r="K186" s="1290"/>
      <c r="L186" s="1290"/>
      <c r="M186" s="1290"/>
      <c r="N186" s="1290"/>
      <c r="O186" s="1290"/>
      <c r="P186" s="1290"/>
    </row>
    <row r="187" spans="1:16" s="1335" customFormat="1">
      <c r="A187" s="1334"/>
      <c r="B187" s="1290"/>
      <c r="C187" s="1290"/>
      <c r="G187" s="1290"/>
      <c r="H187" s="1290"/>
      <c r="I187" s="1290"/>
      <c r="J187" s="1290"/>
      <c r="K187" s="1290"/>
      <c r="L187" s="1290"/>
      <c r="M187" s="1290"/>
      <c r="N187" s="1290"/>
      <c r="O187" s="1290"/>
      <c r="P187" s="1290"/>
    </row>
    <row r="188" spans="1:16" s="1335" customFormat="1">
      <c r="A188" s="1334"/>
      <c r="B188" s="1290"/>
      <c r="C188" s="1290"/>
      <c r="G188" s="1290"/>
      <c r="H188" s="1290"/>
      <c r="I188" s="1290"/>
      <c r="J188" s="1290"/>
      <c r="K188" s="1290"/>
      <c r="L188" s="1290"/>
      <c r="M188" s="1290"/>
      <c r="N188" s="1290"/>
      <c r="O188" s="1290"/>
      <c r="P188" s="1290"/>
    </row>
    <row r="189" spans="1:16" s="1335" customFormat="1">
      <c r="A189" s="1334"/>
      <c r="B189" s="1290"/>
      <c r="C189" s="1290"/>
      <c r="G189" s="1290"/>
      <c r="H189" s="1290"/>
      <c r="I189" s="1290"/>
      <c r="J189" s="1290"/>
      <c r="K189" s="1290"/>
      <c r="L189" s="1290"/>
      <c r="M189" s="1290"/>
      <c r="N189" s="1290"/>
      <c r="O189" s="1290"/>
      <c r="P189" s="1290"/>
    </row>
    <row r="190" spans="1:16" s="1335" customFormat="1">
      <c r="A190" s="1334"/>
      <c r="B190" s="1290"/>
      <c r="C190" s="1290"/>
      <c r="G190" s="1290"/>
      <c r="H190" s="1290"/>
      <c r="I190" s="1290"/>
      <c r="J190" s="1290"/>
      <c r="K190" s="1290"/>
      <c r="L190" s="1290"/>
      <c r="M190" s="1290"/>
      <c r="N190" s="1290"/>
      <c r="O190" s="1290"/>
      <c r="P190" s="1290"/>
    </row>
    <row r="191" spans="1:16" s="1335" customFormat="1">
      <c r="A191" s="1334"/>
      <c r="B191" s="1290"/>
      <c r="C191" s="1290"/>
      <c r="G191" s="1290"/>
      <c r="H191" s="1290"/>
      <c r="I191" s="1290"/>
      <c r="J191" s="1290"/>
      <c r="K191" s="1290"/>
      <c r="L191" s="1290"/>
      <c r="M191" s="1290"/>
      <c r="N191" s="1290"/>
      <c r="O191" s="1290"/>
      <c r="P191" s="1290"/>
    </row>
    <row r="192" spans="1:16" s="1335" customFormat="1">
      <c r="A192" s="1334"/>
      <c r="B192" s="1290"/>
      <c r="C192" s="1290"/>
      <c r="G192" s="1290"/>
      <c r="H192" s="1290"/>
      <c r="I192" s="1290"/>
      <c r="J192" s="1290"/>
      <c r="K192" s="1290"/>
      <c r="L192" s="1290"/>
      <c r="M192" s="1290"/>
      <c r="N192" s="1290"/>
      <c r="O192" s="1290"/>
      <c r="P192" s="1290"/>
    </row>
    <row r="193" spans="1:16" s="1335" customFormat="1">
      <c r="A193" s="1334"/>
      <c r="B193" s="1290"/>
      <c r="C193" s="1290"/>
      <c r="G193" s="1290"/>
      <c r="H193" s="1290"/>
      <c r="I193" s="1290"/>
      <c r="J193" s="1290"/>
      <c r="K193" s="1290"/>
      <c r="L193" s="1290"/>
      <c r="M193" s="1290"/>
      <c r="N193" s="1290"/>
      <c r="O193" s="1290"/>
      <c r="P193" s="1290"/>
    </row>
    <row r="194" spans="1:16" s="1335" customFormat="1">
      <c r="A194" s="1334"/>
      <c r="B194" s="1290"/>
      <c r="C194" s="1290"/>
      <c r="G194" s="1290"/>
      <c r="H194" s="1290"/>
      <c r="I194" s="1290"/>
      <c r="J194" s="1290"/>
      <c r="K194" s="1290"/>
      <c r="L194" s="1290"/>
      <c r="M194" s="1290"/>
      <c r="N194" s="1290"/>
      <c r="O194" s="1290"/>
      <c r="P194" s="1290"/>
    </row>
    <row r="195" spans="1:16" s="1335" customFormat="1">
      <c r="A195" s="1334"/>
      <c r="B195" s="1290"/>
      <c r="C195" s="1290"/>
      <c r="G195" s="1290"/>
      <c r="H195" s="1290"/>
      <c r="I195" s="1290"/>
      <c r="J195" s="1290"/>
      <c r="K195" s="1290"/>
      <c r="L195" s="1290"/>
      <c r="M195" s="1290"/>
      <c r="N195" s="1290"/>
      <c r="O195" s="1290"/>
      <c r="P195" s="1290"/>
    </row>
    <row r="196" spans="1:16" s="1335" customFormat="1">
      <c r="A196" s="1334"/>
      <c r="B196" s="1290"/>
      <c r="C196" s="1290"/>
      <c r="G196" s="1290"/>
      <c r="H196" s="1290"/>
      <c r="I196" s="1290"/>
      <c r="J196" s="1290"/>
      <c r="K196" s="1290"/>
      <c r="L196" s="1290"/>
      <c r="M196" s="1290"/>
      <c r="N196" s="1290"/>
      <c r="O196" s="1290"/>
      <c r="P196" s="1290"/>
    </row>
    <row r="197" spans="1:16" s="1335" customFormat="1">
      <c r="A197" s="1334"/>
      <c r="B197" s="1290"/>
      <c r="C197" s="1290"/>
      <c r="G197" s="1290"/>
      <c r="H197" s="1290"/>
      <c r="I197" s="1290"/>
      <c r="J197" s="1290"/>
      <c r="K197" s="1290"/>
      <c r="L197" s="1290"/>
      <c r="M197" s="1290"/>
      <c r="N197" s="1290"/>
      <c r="O197" s="1290"/>
      <c r="P197" s="1290"/>
    </row>
    <row r="198" spans="1:16" s="1335" customFormat="1">
      <c r="A198" s="1334"/>
      <c r="B198" s="1290"/>
      <c r="C198" s="1290"/>
      <c r="G198" s="1290"/>
      <c r="H198" s="1290"/>
      <c r="I198" s="1290"/>
      <c r="J198" s="1290"/>
      <c r="K198" s="1290"/>
      <c r="L198" s="1290"/>
      <c r="M198" s="1290"/>
      <c r="N198" s="1290"/>
      <c r="O198" s="1290"/>
      <c r="P198" s="1290"/>
    </row>
    <row r="199" spans="1:16" s="1335" customFormat="1">
      <c r="A199" s="1334"/>
      <c r="B199" s="1290"/>
      <c r="C199" s="1290"/>
      <c r="G199" s="1290"/>
      <c r="H199" s="1290"/>
      <c r="I199" s="1290"/>
      <c r="J199" s="1290"/>
      <c r="K199" s="1290"/>
      <c r="L199" s="1290"/>
      <c r="M199" s="1290"/>
      <c r="N199" s="1290"/>
      <c r="O199" s="1290"/>
      <c r="P199" s="1290"/>
    </row>
    <row r="200" spans="1:16" s="1335" customFormat="1">
      <c r="A200" s="1334"/>
      <c r="B200" s="1290"/>
      <c r="C200" s="1290"/>
      <c r="G200" s="1290"/>
      <c r="H200" s="1290"/>
      <c r="I200" s="1290"/>
      <c r="J200" s="1290"/>
      <c r="K200" s="1290"/>
      <c r="L200" s="1290"/>
      <c r="M200" s="1290"/>
      <c r="N200" s="1290"/>
      <c r="O200" s="1290"/>
      <c r="P200" s="1290"/>
    </row>
    <row r="201" spans="1:16" s="1335" customFormat="1">
      <c r="A201" s="1334"/>
      <c r="B201" s="1290"/>
      <c r="C201" s="1290"/>
      <c r="G201" s="1290"/>
      <c r="H201" s="1290"/>
      <c r="I201" s="1290"/>
      <c r="J201" s="1290"/>
      <c r="K201" s="1290"/>
      <c r="L201" s="1290"/>
      <c r="M201" s="1290"/>
      <c r="N201" s="1290"/>
      <c r="O201" s="1290"/>
      <c r="P201" s="1290"/>
    </row>
    <row r="202" spans="1:16" s="1335" customFormat="1">
      <c r="A202" s="1334"/>
      <c r="B202" s="1290"/>
      <c r="C202" s="1290"/>
      <c r="G202" s="1290"/>
      <c r="H202" s="1290"/>
      <c r="I202" s="1290"/>
      <c r="J202" s="1290"/>
      <c r="K202" s="1290"/>
      <c r="L202" s="1290"/>
      <c r="M202" s="1290"/>
      <c r="N202" s="1290"/>
      <c r="O202" s="1290"/>
      <c r="P202" s="1290"/>
    </row>
    <row r="203" spans="1:16" s="1335" customFormat="1">
      <c r="A203" s="1334"/>
      <c r="B203" s="1290"/>
      <c r="C203" s="1290"/>
      <c r="G203" s="1290"/>
      <c r="H203" s="1290"/>
      <c r="I203" s="1290"/>
      <c r="J203" s="1290"/>
      <c r="K203" s="1290"/>
      <c r="L203" s="1290"/>
      <c r="M203" s="1290"/>
      <c r="N203" s="1290"/>
      <c r="O203" s="1290"/>
      <c r="P203" s="1290"/>
    </row>
    <row r="204" spans="1:16" s="1335" customFormat="1">
      <c r="A204" s="1334"/>
      <c r="B204" s="1290"/>
      <c r="C204" s="1290"/>
      <c r="G204" s="1290"/>
      <c r="H204" s="1290"/>
      <c r="I204" s="1290"/>
      <c r="J204" s="1290"/>
      <c r="K204" s="1290"/>
      <c r="L204" s="1290"/>
      <c r="M204" s="1290"/>
      <c r="N204" s="1290"/>
      <c r="O204" s="1290"/>
      <c r="P204" s="1290"/>
    </row>
    <row r="205" spans="1:16" s="1335" customFormat="1">
      <c r="A205" s="1334"/>
      <c r="B205" s="1290"/>
      <c r="C205" s="1290"/>
      <c r="G205" s="1290"/>
      <c r="H205" s="1290"/>
      <c r="I205" s="1290"/>
      <c r="J205" s="1290"/>
      <c r="K205" s="1290"/>
      <c r="L205" s="1290"/>
      <c r="M205" s="1290"/>
      <c r="N205" s="1290"/>
      <c r="O205" s="1290"/>
      <c r="P205" s="1290"/>
    </row>
    <row r="206" spans="1:16" s="1335" customFormat="1">
      <c r="A206" s="1334"/>
      <c r="B206" s="1290"/>
      <c r="C206" s="1290"/>
      <c r="G206" s="1290"/>
      <c r="H206" s="1290"/>
      <c r="I206" s="1290"/>
      <c r="J206" s="1290"/>
      <c r="K206" s="1290"/>
      <c r="L206" s="1290"/>
      <c r="M206" s="1290"/>
      <c r="N206" s="1290"/>
      <c r="O206" s="1290"/>
      <c r="P206" s="1290"/>
    </row>
    <row r="207" spans="1:16" s="1335" customFormat="1">
      <c r="A207" s="1334"/>
      <c r="B207" s="1290"/>
      <c r="C207" s="1290"/>
      <c r="G207" s="1290"/>
      <c r="H207" s="1290"/>
      <c r="I207" s="1290"/>
      <c r="J207" s="1290"/>
      <c r="K207" s="1290"/>
      <c r="L207" s="1290"/>
      <c r="M207" s="1290"/>
      <c r="N207" s="1290"/>
      <c r="O207" s="1290"/>
      <c r="P207" s="1290"/>
    </row>
    <row r="208" spans="1:16" s="1335" customFormat="1">
      <c r="A208" s="1334"/>
      <c r="B208" s="1290"/>
      <c r="C208" s="1290"/>
      <c r="G208" s="1290"/>
      <c r="H208" s="1290"/>
      <c r="I208" s="1290"/>
      <c r="J208" s="1290"/>
      <c r="K208" s="1290"/>
      <c r="L208" s="1290"/>
      <c r="M208" s="1290"/>
      <c r="N208" s="1290"/>
      <c r="O208" s="1290"/>
      <c r="P208" s="1290"/>
    </row>
    <row r="209" spans="1:16" s="1335" customFormat="1">
      <c r="A209" s="1334"/>
      <c r="B209" s="1290"/>
      <c r="C209" s="1290"/>
      <c r="G209" s="1290"/>
      <c r="H209" s="1290"/>
      <c r="I209" s="1290"/>
      <c r="J209" s="1290"/>
      <c r="K209" s="1290"/>
      <c r="L209" s="1290"/>
      <c r="M209" s="1290"/>
      <c r="N209" s="1290"/>
      <c r="O209" s="1290"/>
      <c r="P209" s="1290"/>
    </row>
    <row r="210" spans="1:16" s="1335" customFormat="1">
      <c r="A210" s="1334"/>
      <c r="B210" s="1290"/>
      <c r="C210" s="1290"/>
      <c r="G210" s="1290"/>
      <c r="H210" s="1290"/>
      <c r="I210" s="1290"/>
      <c r="J210" s="1290"/>
      <c r="K210" s="1290"/>
      <c r="L210" s="1290"/>
      <c r="M210" s="1290"/>
      <c r="N210" s="1290"/>
      <c r="O210" s="1290"/>
      <c r="P210" s="1290"/>
    </row>
    <row r="211" spans="1:16" s="1335" customFormat="1">
      <c r="A211" s="1334"/>
      <c r="B211" s="1290"/>
      <c r="C211" s="1290"/>
      <c r="G211" s="1290"/>
      <c r="H211" s="1290"/>
      <c r="I211" s="1290"/>
      <c r="J211" s="1290"/>
      <c r="K211" s="1290"/>
      <c r="L211" s="1290"/>
      <c r="M211" s="1290"/>
      <c r="N211" s="1290"/>
      <c r="O211" s="1290"/>
      <c r="P211" s="1290"/>
    </row>
    <row r="212" spans="1:16" s="1335" customFormat="1">
      <c r="A212" s="1334"/>
      <c r="B212" s="1290"/>
      <c r="C212" s="1290"/>
      <c r="G212" s="1290"/>
      <c r="H212" s="1290"/>
      <c r="I212" s="1290"/>
      <c r="J212" s="1290"/>
      <c r="K212" s="1290"/>
      <c r="L212" s="1290"/>
      <c r="M212" s="1290"/>
      <c r="N212" s="1290"/>
      <c r="O212" s="1290"/>
      <c r="P212" s="1290"/>
    </row>
    <row r="213" spans="1:16" s="1335" customFormat="1">
      <c r="A213" s="1334"/>
      <c r="B213" s="1290"/>
      <c r="C213" s="1290"/>
      <c r="G213" s="1290"/>
      <c r="H213" s="1290"/>
      <c r="I213" s="1290"/>
      <c r="J213" s="1290"/>
      <c r="K213" s="1290"/>
      <c r="L213" s="1290"/>
      <c r="M213" s="1290"/>
      <c r="N213" s="1290"/>
      <c r="O213" s="1290"/>
      <c r="P213" s="1290"/>
    </row>
    <row r="214" spans="1:16" s="1335" customFormat="1">
      <c r="A214" s="1334"/>
      <c r="B214" s="1290"/>
      <c r="C214" s="1290"/>
      <c r="G214" s="1290"/>
      <c r="H214" s="1290"/>
      <c r="I214" s="1290"/>
      <c r="J214" s="1290"/>
      <c r="K214" s="1290"/>
      <c r="L214" s="1290"/>
      <c r="M214" s="1290"/>
      <c r="N214" s="1290"/>
      <c r="O214" s="1290"/>
      <c r="P214" s="1290"/>
    </row>
    <row r="215" spans="1:16" s="1335" customFormat="1">
      <c r="A215" s="1334"/>
      <c r="B215" s="1290"/>
      <c r="C215" s="1290"/>
      <c r="G215" s="1290"/>
      <c r="H215" s="1290"/>
      <c r="I215" s="1290"/>
      <c r="J215" s="1290"/>
      <c r="K215" s="1290"/>
      <c r="L215" s="1290"/>
      <c r="M215" s="1290"/>
      <c r="N215" s="1290"/>
      <c r="O215" s="1290"/>
      <c r="P215" s="1290"/>
    </row>
    <row r="216" spans="1:16" s="1335" customFormat="1">
      <c r="A216" s="1334"/>
      <c r="B216" s="1290"/>
      <c r="C216" s="1290"/>
      <c r="G216" s="1290"/>
      <c r="H216" s="1290"/>
      <c r="I216" s="1290"/>
      <c r="J216" s="1290"/>
      <c r="K216" s="1290"/>
      <c r="L216" s="1290"/>
      <c r="M216" s="1290"/>
      <c r="N216" s="1290"/>
      <c r="O216" s="1290"/>
      <c r="P216" s="1290"/>
    </row>
    <row r="217" spans="1:16" s="1335" customFormat="1">
      <c r="A217" s="1334"/>
      <c r="B217" s="1290"/>
      <c r="C217" s="1290"/>
      <c r="G217" s="1290"/>
      <c r="H217" s="1290"/>
      <c r="I217" s="1290"/>
      <c r="J217" s="1290"/>
      <c r="K217" s="1290"/>
      <c r="L217" s="1290"/>
      <c r="M217" s="1290"/>
      <c r="N217" s="1290"/>
      <c r="O217" s="1290"/>
      <c r="P217" s="1290"/>
    </row>
    <row r="218" spans="1:16" s="1335" customFormat="1">
      <c r="A218" s="1334"/>
      <c r="B218" s="1290"/>
      <c r="C218" s="1290"/>
      <c r="G218" s="1290"/>
      <c r="H218" s="1290"/>
      <c r="I218" s="1290"/>
      <c r="J218" s="1290"/>
      <c r="K218" s="1290"/>
      <c r="L218" s="1290"/>
      <c r="M218" s="1290"/>
      <c r="N218" s="1290"/>
      <c r="O218" s="1290"/>
      <c r="P218" s="1290"/>
    </row>
    <row r="219" spans="1:16" s="1335" customFormat="1">
      <c r="A219" s="1334"/>
      <c r="B219" s="1290"/>
      <c r="C219" s="1290"/>
      <c r="G219" s="1290"/>
      <c r="H219" s="1290"/>
      <c r="I219" s="1290"/>
      <c r="J219" s="1290"/>
      <c r="K219" s="1290"/>
      <c r="L219" s="1290"/>
      <c r="M219" s="1290"/>
      <c r="N219" s="1290"/>
      <c r="O219" s="1290"/>
      <c r="P219" s="1290"/>
    </row>
    <row r="220" spans="1:16" s="1335" customFormat="1">
      <c r="A220" s="1334"/>
      <c r="B220" s="1290"/>
      <c r="C220" s="1290"/>
      <c r="G220" s="1290"/>
      <c r="H220" s="1290"/>
      <c r="I220" s="1290"/>
      <c r="J220" s="1290"/>
      <c r="K220" s="1290"/>
      <c r="L220" s="1290"/>
      <c r="M220" s="1290"/>
      <c r="N220" s="1290"/>
      <c r="O220" s="1290"/>
      <c r="P220" s="1290"/>
    </row>
    <row r="221" spans="1:16" s="1335" customFormat="1">
      <c r="A221" s="1334"/>
      <c r="B221" s="1290"/>
      <c r="C221" s="1290"/>
      <c r="G221" s="1290"/>
      <c r="H221" s="1290"/>
      <c r="I221" s="1290"/>
      <c r="J221" s="1290"/>
      <c r="K221" s="1290"/>
      <c r="L221" s="1290"/>
      <c r="M221" s="1290"/>
      <c r="N221" s="1290"/>
      <c r="O221" s="1290"/>
      <c r="P221" s="1290"/>
    </row>
    <row r="222" spans="1:16" s="1335" customFormat="1">
      <c r="A222" s="1334"/>
      <c r="B222" s="1290"/>
      <c r="C222" s="1290"/>
      <c r="G222" s="1290"/>
      <c r="H222" s="1290"/>
      <c r="I222" s="1290"/>
      <c r="J222" s="1290"/>
      <c r="K222" s="1290"/>
      <c r="L222" s="1290"/>
      <c r="M222" s="1290"/>
      <c r="N222" s="1290"/>
      <c r="O222" s="1290"/>
      <c r="P222" s="1290"/>
    </row>
    <row r="223" spans="1:16" s="1335" customFormat="1">
      <c r="A223" s="1334"/>
      <c r="B223" s="1290"/>
      <c r="C223" s="1290"/>
      <c r="G223" s="1290"/>
      <c r="H223" s="1290"/>
      <c r="I223" s="1290"/>
      <c r="J223" s="1290"/>
      <c r="K223" s="1290"/>
      <c r="L223" s="1290"/>
      <c r="M223" s="1290"/>
      <c r="N223" s="1290"/>
      <c r="O223" s="1290"/>
      <c r="P223" s="1290"/>
    </row>
    <row r="224" spans="1:16" s="1335" customFormat="1">
      <c r="A224" s="1334"/>
      <c r="B224" s="1290"/>
      <c r="C224" s="1290"/>
      <c r="G224" s="1290"/>
      <c r="H224" s="1290"/>
      <c r="I224" s="1290"/>
      <c r="J224" s="1290"/>
      <c r="K224" s="1290"/>
      <c r="L224" s="1290"/>
      <c r="M224" s="1290"/>
      <c r="N224" s="1290"/>
      <c r="O224" s="1290"/>
      <c r="P224" s="1290"/>
    </row>
    <row r="225" spans="1:16" s="1335" customFormat="1">
      <c r="A225" s="1334"/>
      <c r="B225" s="1290"/>
      <c r="C225" s="1290"/>
      <c r="G225" s="1290"/>
      <c r="H225" s="1290"/>
      <c r="I225" s="1290"/>
      <c r="J225" s="1290"/>
      <c r="K225" s="1290"/>
      <c r="L225" s="1290"/>
      <c r="M225" s="1290"/>
      <c r="N225" s="1290"/>
      <c r="O225" s="1290"/>
      <c r="P225" s="1290"/>
    </row>
    <row r="226" spans="1:16" s="1335" customFormat="1">
      <c r="A226" s="1334"/>
      <c r="B226" s="1290"/>
      <c r="C226" s="1290"/>
      <c r="G226" s="1290"/>
      <c r="H226" s="1290"/>
      <c r="I226" s="1290"/>
      <c r="J226" s="1290"/>
      <c r="K226" s="1290"/>
      <c r="L226" s="1290"/>
      <c r="M226" s="1290"/>
      <c r="N226" s="1290"/>
      <c r="O226" s="1290"/>
      <c r="P226" s="1290"/>
    </row>
    <row r="227" spans="1:16" s="1335" customFormat="1">
      <c r="A227" s="1334"/>
      <c r="B227" s="1290"/>
      <c r="C227" s="1290"/>
      <c r="G227" s="1290"/>
      <c r="H227" s="1290"/>
      <c r="I227" s="1290"/>
      <c r="J227" s="1290"/>
      <c r="K227" s="1290"/>
      <c r="L227" s="1290"/>
      <c r="M227" s="1290"/>
      <c r="N227" s="1290"/>
      <c r="O227" s="1290"/>
      <c r="P227" s="1290"/>
    </row>
    <row r="228" spans="1:16" s="1335" customFormat="1">
      <c r="A228" s="1334"/>
      <c r="B228" s="1290"/>
      <c r="C228" s="1290"/>
      <c r="G228" s="1290"/>
      <c r="H228" s="1290"/>
      <c r="I228" s="1290"/>
      <c r="J228" s="1290"/>
      <c r="K228" s="1290"/>
      <c r="L228" s="1290"/>
      <c r="M228" s="1290"/>
      <c r="N228" s="1290"/>
      <c r="O228" s="1290"/>
      <c r="P228" s="1290"/>
    </row>
    <row r="229" spans="1:16" s="1335" customFormat="1">
      <c r="A229" s="1334"/>
      <c r="B229" s="1290"/>
      <c r="C229" s="1290"/>
      <c r="G229" s="1290"/>
      <c r="H229" s="1290"/>
      <c r="I229" s="1290"/>
      <c r="J229" s="1290"/>
      <c r="K229" s="1290"/>
      <c r="L229" s="1290"/>
      <c r="M229" s="1290"/>
      <c r="N229" s="1290"/>
      <c r="O229" s="1290"/>
      <c r="P229" s="1290"/>
    </row>
    <row r="230" spans="1:16" s="1335" customFormat="1">
      <c r="A230" s="1334"/>
      <c r="B230" s="1290"/>
      <c r="C230" s="1290"/>
      <c r="G230" s="1290"/>
      <c r="H230" s="1290"/>
      <c r="I230" s="1290"/>
      <c r="J230" s="1290"/>
      <c r="K230" s="1290"/>
      <c r="L230" s="1290"/>
      <c r="M230" s="1290"/>
      <c r="N230" s="1290"/>
      <c r="O230" s="1290"/>
      <c r="P230" s="1290"/>
    </row>
    <row r="231" spans="1:16" s="1335" customFormat="1">
      <c r="A231" s="1334"/>
      <c r="B231" s="1290"/>
      <c r="C231" s="1290"/>
      <c r="G231" s="1290"/>
      <c r="H231" s="1290"/>
      <c r="I231" s="1290"/>
      <c r="J231" s="1290"/>
      <c r="K231" s="1290"/>
      <c r="L231" s="1290"/>
      <c r="M231" s="1290"/>
      <c r="N231" s="1290"/>
      <c r="O231" s="1290"/>
      <c r="P231" s="1290"/>
    </row>
    <row r="232" spans="1:16" s="1335" customFormat="1">
      <c r="A232" s="1334"/>
      <c r="B232" s="1290"/>
      <c r="C232" s="1290"/>
      <c r="G232" s="1290"/>
      <c r="H232" s="1290"/>
      <c r="I232" s="1290"/>
      <c r="J232" s="1290"/>
      <c r="K232" s="1290"/>
      <c r="L232" s="1290"/>
      <c r="M232" s="1290"/>
      <c r="N232" s="1290"/>
      <c r="O232" s="1290"/>
      <c r="P232" s="1290"/>
    </row>
    <row r="233" spans="1:16" s="1335" customFormat="1">
      <c r="A233" s="1334"/>
      <c r="B233" s="1290"/>
      <c r="C233" s="1290"/>
      <c r="G233" s="1290"/>
      <c r="H233" s="1290"/>
      <c r="I233" s="1290"/>
      <c r="J233" s="1290"/>
      <c r="K233" s="1290"/>
      <c r="L233" s="1290"/>
      <c r="M233" s="1290"/>
      <c r="N233" s="1290"/>
      <c r="O233" s="1290"/>
      <c r="P233" s="1290"/>
    </row>
    <row r="234" spans="1:16" s="1335" customFormat="1">
      <c r="A234" s="1334"/>
      <c r="B234" s="1290"/>
      <c r="C234" s="1290"/>
      <c r="G234" s="1290"/>
      <c r="H234" s="1290"/>
      <c r="I234" s="1290"/>
      <c r="J234" s="1290"/>
      <c r="K234" s="1290"/>
      <c r="L234" s="1290"/>
      <c r="M234" s="1290"/>
      <c r="N234" s="1290"/>
      <c r="O234" s="1290"/>
      <c r="P234" s="1290"/>
    </row>
    <row r="235" spans="1:16" s="1335" customFormat="1">
      <c r="A235" s="1334"/>
      <c r="B235" s="1290"/>
      <c r="C235" s="1290"/>
      <c r="G235" s="1290"/>
      <c r="H235" s="1290"/>
      <c r="I235" s="1290"/>
      <c r="J235" s="1290"/>
      <c r="K235" s="1290"/>
      <c r="L235" s="1290"/>
      <c r="M235" s="1290"/>
      <c r="N235" s="1290"/>
      <c r="O235" s="1290"/>
      <c r="P235" s="1290"/>
    </row>
    <row r="236" spans="1:16" s="1335" customFormat="1">
      <c r="A236" s="1334"/>
      <c r="B236" s="1290"/>
      <c r="C236" s="1290"/>
      <c r="G236" s="1290"/>
      <c r="H236" s="1290"/>
      <c r="I236" s="1290"/>
      <c r="J236" s="1290"/>
      <c r="K236" s="1290"/>
      <c r="L236" s="1290"/>
      <c r="M236" s="1290"/>
      <c r="N236" s="1290"/>
      <c r="O236" s="1290"/>
      <c r="P236" s="1290"/>
    </row>
    <row r="237" spans="1:16" s="1335" customFormat="1">
      <c r="A237" s="1334"/>
      <c r="B237" s="1290"/>
      <c r="C237" s="1290"/>
      <c r="G237" s="1290"/>
      <c r="H237" s="1290"/>
      <c r="I237" s="1290"/>
      <c r="J237" s="1290"/>
      <c r="K237" s="1290"/>
      <c r="L237" s="1290"/>
      <c r="M237" s="1290"/>
      <c r="N237" s="1290"/>
      <c r="O237" s="1290"/>
      <c r="P237" s="1290"/>
    </row>
    <row r="238" spans="1:16" s="1335" customFormat="1">
      <c r="A238" s="1334"/>
      <c r="B238" s="1290"/>
      <c r="C238" s="1290"/>
      <c r="G238" s="1290"/>
      <c r="H238" s="1290"/>
      <c r="I238" s="1290"/>
      <c r="J238" s="1290"/>
      <c r="K238" s="1290"/>
      <c r="L238" s="1290"/>
      <c r="M238" s="1290"/>
      <c r="N238" s="1290"/>
      <c r="O238" s="1290"/>
      <c r="P238" s="1290"/>
    </row>
    <row r="239" spans="1:16" s="1335" customFormat="1">
      <c r="A239" s="1334"/>
      <c r="B239" s="1290"/>
      <c r="C239" s="1290"/>
      <c r="G239" s="1290"/>
      <c r="H239" s="1290"/>
      <c r="I239" s="1290"/>
      <c r="J239" s="1290"/>
      <c r="K239" s="1290"/>
      <c r="L239" s="1290"/>
      <c r="M239" s="1290"/>
      <c r="N239" s="1290"/>
      <c r="O239" s="1290"/>
      <c r="P239" s="1290"/>
    </row>
    <row r="240" spans="1:16" s="1335" customFormat="1">
      <c r="A240" s="1334"/>
      <c r="B240" s="1290"/>
      <c r="C240" s="1290"/>
      <c r="G240" s="1290"/>
      <c r="H240" s="1290"/>
      <c r="I240" s="1290"/>
      <c r="J240" s="1290"/>
      <c r="K240" s="1290"/>
      <c r="L240" s="1290"/>
      <c r="M240" s="1290"/>
      <c r="N240" s="1290"/>
      <c r="O240" s="1290"/>
      <c r="P240" s="1290"/>
    </row>
    <row r="241" spans="1:16" s="1335" customFormat="1">
      <c r="A241" s="1334"/>
      <c r="B241" s="1290"/>
      <c r="C241" s="1290"/>
      <c r="G241" s="1290"/>
      <c r="H241" s="1290"/>
      <c r="I241" s="1290"/>
      <c r="J241" s="1290"/>
      <c r="K241" s="1290"/>
      <c r="L241" s="1290"/>
      <c r="M241" s="1290"/>
      <c r="N241" s="1290"/>
      <c r="O241" s="1290"/>
      <c r="P241" s="1290"/>
    </row>
    <row r="242" spans="1:16" s="1335" customFormat="1">
      <c r="A242" s="1334"/>
      <c r="B242" s="1290"/>
      <c r="C242" s="1290"/>
      <c r="G242" s="1290"/>
      <c r="H242" s="1290"/>
      <c r="I242" s="1290"/>
      <c r="J242" s="1290"/>
      <c r="K242" s="1290"/>
      <c r="L242" s="1290"/>
      <c r="M242" s="1290"/>
      <c r="N242" s="1290"/>
      <c r="O242" s="1290"/>
      <c r="P242" s="1290"/>
    </row>
    <row r="243" spans="1:16" s="1335" customFormat="1">
      <c r="A243" s="1334"/>
      <c r="B243" s="1290"/>
      <c r="C243" s="1290"/>
      <c r="G243" s="1290"/>
      <c r="H243" s="1290"/>
      <c r="I243" s="1290"/>
      <c r="J243" s="1290"/>
      <c r="K243" s="1290"/>
      <c r="L243" s="1290"/>
      <c r="M243" s="1290"/>
      <c r="N243" s="1290"/>
      <c r="O243" s="1290"/>
      <c r="P243" s="1290"/>
    </row>
    <row r="244" spans="1:16" s="1335" customFormat="1">
      <c r="A244" s="1334"/>
      <c r="B244" s="1290"/>
      <c r="C244" s="1290"/>
      <c r="G244" s="1290"/>
      <c r="H244" s="1290"/>
      <c r="I244" s="1290"/>
      <c r="J244" s="1290"/>
      <c r="K244" s="1290"/>
      <c r="L244" s="1290"/>
      <c r="M244" s="1290"/>
      <c r="N244" s="1290"/>
      <c r="O244" s="1290"/>
      <c r="P244" s="1290"/>
    </row>
    <row r="245" spans="1:16" s="1335" customFormat="1">
      <c r="A245" s="1334"/>
      <c r="B245" s="1290"/>
      <c r="C245" s="1290"/>
      <c r="G245" s="1290"/>
      <c r="H245" s="1290"/>
      <c r="I245" s="1290"/>
      <c r="J245" s="1290"/>
      <c r="K245" s="1290"/>
      <c r="L245" s="1290"/>
      <c r="M245" s="1290"/>
      <c r="N245" s="1290"/>
      <c r="O245" s="1290"/>
      <c r="P245" s="1290"/>
    </row>
    <row r="246" spans="1:16" s="1335" customFormat="1">
      <c r="A246" s="1334"/>
      <c r="B246" s="1290"/>
      <c r="C246" s="1290"/>
      <c r="G246" s="1290"/>
      <c r="H246" s="1290"/>
      <c r="I246" s="1290"/>
      <c r="J246" s="1290"/>
      <c r="K246" s="1290"/>
      <c r="L246" s="1290"/>
      <c r="M246" s="1290"/>
      <c r="N246" s="1290"/>
      <c r="O246" s="1290"/>
      <c r="P246" s="1290"/>
    </row>
    <row r="247" spans="1:16" s="1335" customFormat="1">
      <c r="A247" s="1334"/>
      <c r="B247" s="1290"/>
      <c r="C247" s="1290"/>
      <c r="G247" s="1290"/>
      <c r="H247" s="1290"/>
      <c r="I247" s="1290"/>
      <c r="J247" s="1290"/>
      <c r="K247" s="1290"/>
      <c r="L247" s="1290"/>
      <c r="M247" s="1290"/>
      <c r="N247" s="1290"/>
      <c r="O247" s="1290"/>
      <c r="P247" s="1290"/>
    </row>
    <row r="248" spans="1:16" s="1335" customFormat="1">
      <c r="A248" s="1334"/>
      <c r="B248" s="1290"/>
      <c r="C248" s="1290"/>
      <c r="G248" s="1290"/>
      <c r="H248" s="1290"/>
      <c r="I248" s="1290"/>
      <c r="J248" s="1290"/>
      <c r="K248" s="1290"/>
      <c r="L248" s="1290"/>
      <c r="M248" s="1290"/>
      <c r="N248" s="1290"/>
      <c r="O248" s="1290"/>
      <c r="P248" s="1290"/>
    </row>
    <row r="249" spans="1:16" s="1335" customFormat="1">
      <c r="A249" s="1334"/>
      <c r="B249" s="1290"/>
      <c r="C249" s="1290"/>
      <c r="G249" s="1290"/>
      <c r="H249" s="1290"/>
      <c r="I249" s="1290"/>
      <c r="J249" s="1290"/>
      <c r="K249" s="1290"/>
      <c r="L249" s="1290"/>
      <c r="M249" s="1290"/>
      <c r="N249" s="1290"/>
      <c r="O249" s="1290"/>
      <c r="P249" s="1290"/>
    </row>
    <row r="250" spans="1:16" s="1335" customFormat="1">
      <c r="A250" s="1334"/>
      <c r="B250" s="1290"/>
      <c r="C250" s="1290"/>
      <c r="G250" s="1290"/>
      <c r="H250" s="1290"/>
      <c r="I250" s="1290"/>
      <c r="J250" s="1290"/>
      <c r="K250" s="1290"/>
      <c r="L250" s="1290"/>
      <c r="M250" s="1290"/>
      <c r="N250" s="1290"/>
      <c r="O250" s="1290"/>
      <c r="P250" s="1290"/>
    </row>
    <row r="251" spans="1:16" s="1335" customFormat="1">
      <c r="A251" s="1334"/>
      <c r="B251" s="1290"/>
      <c r="C251" s="1290"/>
      <c r="G251" s="1290"/>
      <c r="H251" s="1290"/>
      <c r="I251" s="1290"/>
      <c r="J251" s="1290"/>
      <c r="K251" s="1290"/>
      <c r="L251" s="1290"/>
      <c r="M251" s="1290"/>
      <c r="N251" s="1290"/>
      <c r="O251" s="1290"/>
      <c r="P251" s="1290"/>
    </row>
    <row r="252" spans="1:16" s="1335" customFormat="1">
      <c r="A252" s="1334"/>
      <c r="B252" s="1290"/>
      <c r="C252" s="1290"/>
      <c r="G252" s="1290"/>
      <c r="H252" s="1290"/>
      <c r="I252" s="1290"/>
      <c r="J252" s="1290"/>
      <c r="K252" s="1290"/>
      <c r="L252" s="1290"/>
      <c r="M252" s="1290"/>
      <c r="N252" s="1290"/>
      <c r="O252" s="1290"/>
      <c r="P252" s="1290"/>
    </row>
    <row r="253" spans="1:16" s="1335" customFormat="1">
      <c r="A253" s="1334"/>
      <c r="B253" s="1290"/>
      <c r="C253" s="1290"/>
      <c r="G253" s="1290"/>
      <c r="H253" s="1290"/>
      <c r="I253" s="1290"/>
      <c r="J253" s="1290"/>
      <c r="K253" s="1290"/>
      <c r="L253" s="1290"/>
      <c r="M253" s="1290"/>
      <c r="N253" s="1290"/>
      <c r="O253" s="1290"/>
      <c r="P253" s="1290"/>
    </row>
    <row r="254" spans="1:16" s="1335" customFormat="1">
      <c r="A254" s="1334"/>
      <c r="B254" s="1290"/>
      <c r="C254" s="1290"/>
      <c r="G254" s="1290"/>
      <c r="H254" s="1290"/>
      <c r="I254" s="1290"/>
      <c r="J254" s="1290"/>
      <c r="K254" s="1290"/>
      <c r="L254" s="1290"/>
      <c r="M254" s="1290"/>
      <c r="N254" s="1290"/>
      <c r="O254" s="1290"/>
      <c r="P254" s="1290"/>
    </row>
    <row r="255" spans="1:16" s="1335" customFormat="1">
      <c r="A255" s="1334"/>
      <c r="B255" s="1290"/>
      <c r="C255" s="1290"/>
      <c r="G255" s="1290"/>
      <c r="H255" s="1290"/>
      <c r="I255" s="1290"/>
      <c r="J255" s="1290"/>
      <c r="K255" s="1290"/>
      <c r="L255" s="1290"/>
      <c r="M255" s="1290"/>
      <c r="N255" s="1290"/>
      <c r="O255" s="1290"/>
      <c r="P255" s="1290"/>
    </row>
    <row r="256" spans="1:16" s="1335" customFormat="1">
      <c r="A256" s="1334"/>
      <c r="B256" s="1290"/>
      <c r="C256" s="1290"/>
      <c r="G256" s="1290"/>
      <c r="H256" s="1290"/>
      <c r="I256" s="1290"/>
      <c r="J256" s="1290"/>
      <c r="K256" s="1290"/>
      <c r="L256" s="1290"/>
      <c r="M256" s="1290"/>
      <c r="N256" s="1290"/>
      <c r="O256" s="1290"/>
      <c r="P256" s="1290"/>
    </row>
    <row r="257" spans="1:16" s="1335" customFormat="1">
      <c r="A257" s="1334"/>
      <c r="B257" s="1290"/>
      <c r="C257" s="1290"/>
      <c r="G257" s="1290"/>
      <c r="H257" s="1290"/>
      <c r="I257" s="1290"/>
      <c r="J257" s="1290"/>
      <c r="K257" s="1290"/>
      <c r="L257" s="1290"/>
      <c r="M257" s="1290"/>
      <c r="N257" s="1290"/>
      <c r="O257" s="1290"/>
      <c r="P257" s="1290"/>
    </row>
    <row r="258" spans="1:16" s="1335" customFormat="1">
      <c r="A258" s="1334"/>
      <c r="B258" s="1290"/>
      <c r="C258" s="1290"/>
      <c r="G258" s="1290"/>
      <c r="H258" s="1290"/>
      <c r="I258" s="1290"/>
      <c r="J258" s="1290"/>
      <c r="K258" s="1290"/>
      <c r="L258" s="1290"/>
      <c r="M258" s="1290"/>
      <c r="N258" s="1290"/>
      <c r="O258" s="1290"/>
      <c r="P258" s="1290"/>
    </row>
    <row r="259" spans="1:16" s="1335" customFormat="1">
      <c r="A259" s="1334"/>
      <c r="B259" s="1290"/>
      <c r="C259" s="1290"/>
      <c r="G259" s="1290"/>
      <c r="H259" s="1290"/>
      <c r="I259" s="1290"/>
      <c r="J259" s="1290"/>
      <c r="K259" s="1290"/>
      <c r="L259" s="1290"/>
      <c r="M259" s="1290"/>
      <c r="N259" s="1290"/>
      <c r="O259" s="1290"/>
      <c r="P259" s="1290"/>
    </row>
    <row r="260" spans="1:16" s="1335" customFormat="1">
      <c r="A260" s="1334"/>
      <c r="B260" s="1290"/>
      <c r="C260" s="1290"/>
      <c r="G260" s="1290"/>
      <c r="H260" s="1290"/>
      <c r="I260" s="1290"/>
      <c r="J260" s="1290"/>
      <c r="K260" s="1290"/>
      <c r="L260" s="1290"/>
      <c r="M260" s="1290"/>
      <c r="N260" s="1290"/>
      <c r="O260" s="1290"/>
      <c r="P260" s="1290"/>
    </row>
    <row r="261" spans="1:16" s="1335" customFormat="1">
      <c r="A261" s="1334"/>
      <c r="B261" s="1290"/>
      <c r="C261" s="1290"/>
      <c r="G261" s="1290"/>
      <c r="H261" s="1290"/>
      <c r="I261" s="1290"/>
      <c r="J261" s="1290"/>
      <c r="K261" s="1290"/>
      <c r="L261" s="1290"/>
      <c r="M261" s="1290"/>
      <c r="N261" s="1290"/>
      <c r="O261" s="1290"/>
      <c r="P261" s="1290"/>
    </row>
    <row r="262" spans="1:16" s="1335" customFormat="1">
      <c r="A262" s="1334"/>
      <c r="B262" s="1290"/>
      <c r="C262" s="1290"/>
      <c r="G262" s="1290"/>
      <c r="H262" s="1290"/>
      <c r="I262" s="1290"/>
      <c r="J262" s="1290"/>
      <c r="K262" s="1290"/>
      <c r="L262" s="1290"/>
      <c r="M262" s="1290"/>
      <c r="N262" s="1290"/>
      <c r="O262" s="1290"/>
      <c r="P262" s="1290"/>
    </row>
    <row r="263" spans="1:16" s="1335" customFormat="1">
      <c r="A263" s="1334"/>
      <c r="B263" s="1290"/>
      <c r="C263" s="1290"/>
      <c r="G263" s="1290"/>
      <c r="H263" s="1290"/>
      <c r="I263" s="1290"/>
      <c r="J263" s="1290"/>
      <c r="K263" s="1290"/>
      <c r="L263" s="1290"/>
      <c r="M263" s="1290"/>
      <c r="N263" s="1290"/>
      <c r="O263" s="1290"/>
      <c r="P263" s="1290"/>
    </row>
    <row r="264" spans="1:16" s="1335" customFormat="1">
      <c r="A264" s="1334"/>
      <c r="B264" s="1290"/>
      <c r="C264" s="1290"/>
      <c r="G264" s="1290"/>
      <c r="H264" s="1290"/>
      <c r="I264" s="1290"/>
      <c r="J264" s="1290"/>
      <c r="K264" s="1290"/>
      <c r="L264" s="1290"/>
      <c r="M264" s="1290"/>
      <c r="N264" s="1290"/>
      <c r="O264" s="1290"/>
      <c r="P264" s="1290"/>
    </row>
    <row r="265" spans="1:16" s="1335" customFormat="1">
      <c r="A265" s="1334"/>
      <c r="B265" s="1290"/>
      <c r="C265" s="1290"/>
      <c r="G265" s="1290"/>
      <c r="H265" s="1290"/>
      <c r="I265" s="1290"/>
      <c r="J265" s="1290"/>
      <c r="K265" s="1290"/>
      <c r="L265" s="1290"/>
      <c r="M265" s="1290"/>
      <c r="N265" s="1290"/>
      <c r="O265" s="1290"/>
      <c r="P265" s="1290"/>
    </row>
    <row r="266" spans="1:16" s="1335" customFormat="1">
      <c r="A266" s="1334"/>
      <c r="B266" s="1290"/>
      <c r="C266" s="1290"/>
      <c r="G266" s="1290"/>
      <c r="H266" s="1290"/>
      <c r="I266" s="1290"/>
      <c r="J266" s="1290"/>
      <c r="K266" s="1290"/>
      <c r="L266" s="1290"/>
      <c r="M266" s="1290"/>
      <c r="N266" s="1290"/>
      <c r="O266" s="1290"/>
      <c r="P266" s="1290"/>
    </row>
    <row r="267" spans="1:16" s="1335" customFormat="1">
      <c r="A267" s="1334"/>
      <c r="B267" s="1290"/>
      <c r="C267" s="1290"/>
      <c r="G267" s="1290"/>
      <c r="H267" s="1290"/>
      <c r="I267" s="1290"/>
      <c r="J267" s="1290"/>
      <c r="K267" s="1290"/>
      <c r="L267" s="1290"/>
      <c r="M267" s="1290"/>
      <c r="N267" s="1290"/>
      <c r="O267" s="1290"/>
      <c r="P267" s="1290"/>
    </row>
    <row r="268" spans="1:16" s="1335" customFormat="1">
      <c r="A268" s="1334"/>
      <c r="B268" s="1290"/>
      <c r="C268" s="1290"/>
      <c r="G268" s="1290"/>
      <c r="H268" s="1290"/>
      <c r="I268" s="1290"/>
      <c r="J268" s="1290"/>
      <c r="K268" s="1290"/>
      <c r="L268" s="1290"/>
      <c r="M268" s="1290"/>
      <c r="N268" s="1290"/>
      <c r="O268" s="1290"/>
      <c r="P268" s="1290"/>
    </row>
    <row r="269" spans="1:16" s="1335" customFormat="1">
      <c r="A269" s="1334"/>
      <c r="B269" s="1290"/>
      <c r="C269" s="1290"/>
      <c r="G269" s="1290"/>
      <c r="H269" s="1290"/>
      <c r="I269" s="1290"/>
      <c r="J269" s="1290"/>
      <c r="K269" s="1290"/>
      <c r="L269" s="1290"/>
      <c r="M269" s="1290"/>
      <c r="N269" s="1290"/>
      <c r="O269" s="1290"/>
      <c r="P269" s="1290"/>
    </row>
    <row r="270" spans="1:16" s="1335" customFormat="1">
      <c r="A270" s="1334"/>
      <c r="B270" s="1290"/>
      <c r="C270" s="1290"/>
      <c r="G270" s="1290"/>
      <c r="H270" s="1290"/>
      <c r="I270" s="1290"/>
      <c r="J270" s="1290"/>
      <c r="K270" s="1290"/>
      <c r="L270" s="1290"/>
      <c r="M270" s="1290"/>
      <c r="N270" s="1290"/>
      <c r="O270" s="1290"/>
      <c r="P270" s="1290"/>
    </row>
    <row r="271" spans="1:16" s="1335" customFormat="1">
      <c r="A271" s="1334"/>
      <c r="B271" s="1290"/>
      <c r="C271" s="1290"/>
      <c r="G271" s="1290"/>
      <c r="H271" s="1290"/>
      <c r="I271" s="1290"/>
      <c r="J271" s="1290"/>
      <c r="K271" s="1290"/>
      <c r="L271" s="1290"/>
      <c r="M271" s="1290"/>
      <c r="N271" s="1290"/>
      <c r="O271" s="1290"/>
      <c r="P271" s="1290"/>
    </row>
    <row r="272" spans="1:16" s="1335" customFormat="1">
      <c r="A272" s="1334"/>
      <c r="B272" s="1290"/>
      <c r="C272" s="1290"/>
      <c r="G272" s="1290"/>
      <c r="H272" s="1290"/>
      <c r="I272" s="1290"/>
      <c r="J272" s="1290"/>
      <c r="K272" s="1290"/>
      <c r="L272" s="1290"/>
      <c r="M272" s="1290"/>
      <c r="N272" s="1290"/>
      <c r="O272" s="1290"/>
      <c r="P272" s="1290"/>
    </row>
    <row r="273" spans="1:16" s="1335" customFormat="1">
      <c r="A273" s="1334"/>
      <c r="B273" s="1290"/>
      <c r="C273" s="1290"/>
      <c r="G273" s="1290"/>
      <c r="H273" s="1290"/>
      <c r="I273" s="1290"/>
      <c r="J273" s="1290"/>
      <c r="K273" s="1290"/>
      <c r="L273" s="1290"/>
      <c r="M273" s="1290"/>
      <c r="N273" s="1290"/>
      <c r="O273" s="1290"/>
      <c r="P273" s="1290"/>
    </row>
    <row r="274" spans="1:16" s="1335" customFormat="1">
      <c r="A274" s="1334"/>
      <c r="B274" s="1290"/>
      <c r="C274" s="1290"/>
      <c r="G274" s="1290"/>
      <c r="H274" s="1290"/>
      <c r="I274" s="1290"/>
      <c r="J274" s="1290"/>
      <c r="K274" s="1290"/>
      <c r="L274" s="1290"/>
      <c r="M274" s="1290"/>
      <c r="N274" s="1290"/>
      <c r="O274" s="1290"/>
      <c r="P274" s="1290"/>
    </row>
    <row r="275" spans="1:16" s="1335" customFormat="1">
      <c r="A275" s="1334"/>
      <c r="B275" s="1290"/>
      <c r="C275" s="1290"/>
      <c r="G275" s="1290"/>
      <c r="H275" s="1290"/>
      <c r="I275" s="1290"/>
      <c r="J275" s="1290"/>
      <c r="K275" s="1290"/>
      <c r="L275" s="1290"/>
      <c r="M275" s="1290"/>
      <c r="N275" s="1290"/>
      <c r="O275" s="1290"/>
      <c r="P275" s="1290"/>
    </row>
    <row r="276" spans="1:16" s="1335" customFormat="1">
      <c r="A276" s="1334"/>
      <c r="B276" s="1290"/>
      <c r="C276" s="1290"/>
      <c r="G276" s="1290"/>
      <c r="H276" s="1290"/>
      <c r="I276" s="1290"/>
      <c r="J276" s="1290"/>
      <c r="K276" s="1290"/>
      <c r="L276" s="1290"/>
      <c r="M276" s="1290"/>
      <c r="N276" s="1290"/>
      <c r="O276" s="1290"/>
      <c r="P276" s="1290"/>
    </row>
    <row r="277" spans="1:16" s="1335" customFormat="1">
      <c r="A277" s="1334"/>
      <c r="B277" s="1290"/>
      <c r="C277" s="1290"/>
      <c r="G277" s="1290"/>
      <c r="H277" s="1290"/>
      <c r="I277" s="1290"/>
      <c r="J277" s="1290"/>
      <c r="K277" s="1290"/>
      <c r="L277" s="1290"/>
      <c r="M277" s="1290"/>
      <c r="N277" s="1290"/>
      <c r="O277" s="1290"/>
      <c r="P277" s="1290"/>
    </row>
    <row r="278" spans="1:16" s="1335" customFormat="1">
      <c r="A278" s="1334"/>
      <c r="B278" s="1290"/>
      <c r="C278" s="1290"/>
      <c r="G278" s="1290"/>
      <c r="H278" s="1290"/>
      <c r="I278" s="1290"/>
      <c r="J278" s="1290"/>
      <c r="K278" s="1290"/>
      <c r="L278" s="1290"/>
      <c r="M278" s="1290"/>
      <c r="N278" s="1290"/>
      <c r="O278" s="1290"/>
      <c r="P278" s="1290"/>
    </row>
    <row r="279" spans="1:16" s="1335" customFormat="1">
      <c r="A279" s="1334"/>
      <c r="B279" s="1290"/>
      <c r="C279" s="1290"/>
      <c r="G279" s="1290"/>
      <c r="H279" s="1290"/>
      <c r="I279" s="1290"/>
      <c r="J279" s="1290"/>
      <c r="K279" s="1290"/>
      <c r="L279" s="1290"/>
      <c r="M279" s="1290"/>
      <c r="N279" s="1290"/>
      <c r="O279" s="1290"/>
      <c r="P279" s="1290"/>
    </row>
    <row r="280" spans="1:16" s="1335" customFormat="1">
      <c r="A280" s="1334"/>
      <c r="B280" s="1290"/>
      <c r="C280" s="1290"/>
      <c r="G280" s="1290"/>
      <c r="H280" s="1290"/>
      <c r="I280" s="1290"/>
      <c r="J280" s="1290"/>
      <c r="K280" s="1290"/>
      <c r="L280" s="1290"/>
      <c r="M280" s="1290"/>
      <c r="N280" s="1290"/>
      <c r="O280" s="1290"/>
      <c r="P280" s="1290"/>
    </row>
    <row r="281" spans="1:16" s="1335" customFormat="1">
      <c r="A281" s="1334"/>
      <c r="B281" s="1290"/>
      <c r="C281" s="1290"/>
      <c r="G281" s="1290"/>
      <c r="H281" s="1290"/>
      <c r="I281" s="1290"/>
      <c r="J281" s="1290"/>
      <c r="K281" s="1290"/>
      <c r="L281" s="1290"/>
      <c r="M281" s="1290"/>
      <c r="N281" s="1290"/>
      <c r="O281" s="1290"/>
      <c r="P281" s="1290"/>
    </row>
    <row r="282" spans="1:16" s="1335" customFormat="1">
      <c r="A282" s="1334"/>
      <c r="B282" s="1290"/>
      <c r="C282" s="1290"/>
      <c r="G282" s="1290"/>
      <c r="H282" s="1290"/>
      <c r="I282" s="1290"/>
      <c r="J282" s="1290"/>
      <c r="K282" s="1290"/>
      <c r="L282" s="1290"/>
      <c r="M282" s="1290"/>
      <c r="N282" s="1290"/>
      <c r="O282" s="1290"/>
      <c r="P282" s="1290"/>
    </row>
    <row r="283" spans="1:16" s="1335" customFormat="1">
      <c r="A283" s="1334"/>
      <c r="B283" s="1290"/>
      <c r="C283" s="1290"/>
      <c r="G283" s="1290"/>
      <c r="H283" s="1290"/>
      <c r="I283" s="1290"/>
      <c r="J283" s="1290"/>
      <c r="K283" s="1290"/>
      <c r="L283" s="1290"/>
      <c r="M283" s="1290"/>
      <c r="N283" s="1290"/>
      <c r="O283" s="1290"/>
      <c r="P283" s="1290"/>
    </row>
    <row r="284" spans="1:16" s="1335" customFormat="1">
      <c r="A284" s="1334"/>
      <c r="B284" s="1290"/>
      <c r="C284" s="1290"/>
      <c r="G284" s="1290"/>
      <c r="H284" s="1290"/>
      <c r="I284" s="1290"/>
      <c r="J284" s="1290"/>
      <c r="K284" s="1290"/>
      <c r="L284" s="1290"/>
      <c r="M284" s="1290"/>
      <c r="N284" s="1290"/>
      <c r="O284" s="1290"/>
      <c r="P284" s="1290"/>
    </row>
    <row r="285" spans="1:16" s="1335" customFormat="1">
      <c r="A285" s="1334"/>
      <c r="B285" s="1290"/>
      <c r="C285" s="1290"/>
      <c r="G285" s="1290"/>
      <c r="H285" s="1290"/>
      <c r="I285" s="1290"/>
      <c r="J285" s="1290"/>
      <c r="K285" s="1290"/>
      <c r="L285" s="1290"/>
      <c r="M285" s="1290"/>
      <c r="N285" s="1290"/>
      <c r="O285" s="1290"/>
      <c r="P285" s="1290"/>
    </row>
    <row r="286" spans="1:16" s="1335" customFormat="1">
      <c r="A286" s="1334"/>
      <c r="B286" s="1290"/>
      <c r="C286" s="1290"/>
      <c r="G286" s="1290"/>
      <c r="H286" s="1290"/>
      <c r="I286" s="1290"/>
      <c r="J286" s="1290"/>
      <c r="K286" s="1290"/>
      <c r="L286" s="1290"/>
      <c r="M286" s="1290"/>
      <c r="N286" s="1290"/>
      <c r="O286" s="1290"/>
      <c r="P286" s="1290"/>
    </row>
    <row r="287" spans="1:16" s="1335" customFormat="1">
      <c r="A287" s="1334"/>
      <c r="B287" s="1290"/>
      <c r="C287" s="1290"/>
      <c r="G287" s="1290"/>
      <c r="H287" s="1290"/>
      <c r="I287" s="1290"/>
      <c r="J287" s="1290"/>
      <c r="K287" s="1290"/>
      <c r="L287" s="1290"/>
      <c r="M287" s="1290"/>
      <c r="N287" s="1290"/>
      <c r="O287" s="1290"/>
      <c r="P287" s="1290"/>
    </row>
    <row r="288" spans="1:16" s="1335" customFormat="1">
      <c r="A288" s="1334"/>
      <c r="B288" s="1290"/>
      <c r="C288" s="1290"/>
      <c r="G288" s="1290"/>
      <c r="H288" s="1290"/>
      <c r="I288" s="1290"/>
      <c r="J288" s="1290"/>
      <c r="K288" s="1290"/>
      <c r="L288" s="1290"/>
      <c r="M288" s="1290"/>
      <c r="N288" s="1290"/>
      <c r="O288" s="1290"/>
      <c r="P288" s="1290"/>
    </row>
    <row r="289" spans="1:16" s="1335" customFormat="1">
      <c r="A289" s="1334"/>
      <c r="B289" s="1290"/>
      <c r="C289" s="1290"/>
      <c r="G289" s="1290"/>
      <c r="H289" s="1290"/>
      <c r="I289" s="1290"/>
      <c r="J289" s="1290"/>
      <c r="K289" s="1290"/>
      <c r="L289" s="1290"/>
      <c r="M289" s="1290"/>
      <c r="N289" s="1290"/>
      <c r="O289" s="1290"/>
      <c r="P289" s="1290"/>
    </row>
    <row r="290" spans="1:16" s="1335" customFormat="1">
      <c r="A290" s="1334"/>
      <c r="B290" s="1290"/>
      <c r="C290" s="1290"/>
      <c r="G290" s="1290"/>
      <c r="H290" s="1290"/>
      <c r="I290" s="1290"/>
      <c r="J290" s="1290"/>
      <c r="K290" s="1290"/>
      <c r="L290" s="1290"/>
      <c r="M290" s="1290"/>
      <c r="N290" s="1290"/>
      <c r="O290" s="1290"/>
      <c r="P290" s="1290"/>
    </row>
    <row r="291" spans="1:16" s="1335" customFormat="1">
      <c r="A291" s="1334"/>
      <c r="B291" s="1290"/>
      <c r="C291" s="1290"/>
      <c r="G291" s="1290"/>
      <c r="H291" s="1290"/>
      <c r="I291" s="1290"/>
      <c r="J291" s="1290"/>
      <c r="K291" s="1290"/>
      <c r="L291" s="1290"/>
      <c r="M291" s="1290"/>
      <c r="N291" s="1290"/>
      <c r="O291" s="1290"/>
      <c r="P291" s="1290"/>
    </row>
    <row r="292" spans="1:16" s="1335" customFormat="1">
      <c r="A292" s="1334"/>
      <c r="B292" s="1290"/>
      <c r="C292" s="1290"/>
      <c r="G292" s="1290"/>
      <c r="H292" s="1290"/>
      <c r="I292" s="1290"/>
      <c r="J292" s="1290"/>
      <c r="K292" s="1290"/>
      <c r="L292" s="1290"/>
      <c r="M292" s="1290"/>
      <c r="N292" s="1290"/>
      <c r="O292" s="1290"/>
      <c r="P292" s="1290"/>
    </row>
    <row r="293" spans="1:16" s="1335" customFormat="1">
      <c r="A293" s="1334"/>
      <c r="B293" s="1290"/>
      <c r="C293" s="1290"/>
      <c r="G293" s="1290"/>
      <c r="H293" s="1290"/>
      <c r="I293" s="1290"/>
      <c r="J293" s="1290"/>
      <c r="K293" s="1290"/>
      <c r="L293" s="1290"/>
      <c r="M293" s="1290"/>
      <c r="N293" s="1290"/>
      <c r="O293" s="1290"/>
      <c r="P293" s="1290"/>
    </row>
    <row r="294" spans="1:16" s="1335" customFormat="1">
      <c r="A294" s="1334"/>
      <c r="B294" s="1290"/>
      <c r="C294" s="1290"/>
      <c r="G294" s="1290"/>
      <c r="H294" s="1290"/>
      <c r="I294" s="1290"/>
      <c r="J294" s="1290"/>
      <c r="K294" s="1290"/>
      <c r="L294" s="1290"/>
      <c r="M294" s="1290"/>
      <c r="N294" s="1290"/>
      <c r="O294" s="1290"/>
      <c r="P294" s="1290"/>
    </row>
    <row r="295" spans="1:16" s="1335" customFormat="1">
      <c r="A295" s="1334"/>
      <c r="B295" s="1290"/>
      <c r="C295" s="1290"/>
      <c r="G295" s="1290"/>
      <c r="H295" s="1290"/>
      <c r="I295" s="1290"/>
      <c r="J295" s="1290"/>
      <c r="K295" s="1290"/>
      <c r="L295" s="1290"/>
      <c r="M295" s="1290"/>
      <c r="N295" s="1290"/>
      <c r="O295" s="1290"/>
      <c r="P295" s="1290"/>
    </row>
    <row r="296" spans="1:16" s="1335" customFormat="1">
      <c r="A296" s="1334"/>
      <c r="B296" s="1290"/>
      <c r="C296" s="1290"/>
      <c r="G296" s="1290"/>
      <c r="H296" s="1290"/>
      <c r="I296" s="1290"/>
      <c r="J296" s="1290"/>
      <c r="K296" s="1290"/>
      <c r="L296" s="1290"/>
      <c r="M296" s="1290"/>
      <c r="N296" s="1290"/>
      <c r="O296" s="1290"/>
      <c r="P296" s="1290"/>
    </row>
    <row r="297" spans="1:16" s="1335" customFormat="1">
      <c r="A297" s="1334"/>
      <c r="B297" s="1290"/>
      <c r="C297" s="1290"/>
      <c r="G297" s="1290"/>
      <c r="H297" s="1290"/>
      <c r="I297" s="1290"/>
      <c r="J297" s="1290"/>
      <c r="K297" s="1290"/>
      <c r="L297" s="1290"/>
      <c r="M297" s="1290"/>
      <c r="N297" s="1290"/>
      <c r="O297" s="1290"/>
      <c r="P297" s="1290"/>
    </row>
    <row r="298" spans="1:16" s="1335" customFormat="1">
      <c r="A298" s="1334"/>
      <c r="B298" s="1290"/>
      <c r="C298" s="1290"/>
      <c r="G298" s="1290"/>
      <c r="H298" s="1290"/>
      <c r="I298" s="1290"/>
      <c r="J298" s="1290"/>
      <c r="K298" s="1290"/>
      <c r="L298" s="1290"/>
      <c r="M298" s="1290"/>
      <c r="N298" s="1290"/>
      <c r="O298" s="1290"/>
      <c r="P298" s="1290"/>
    </row>
    <row r="299" spans="1:16" s="1335" customFormat="1">
      <c r="A299" s="1334"/>
      <c r="B299" s="1290"/>
      <c r="C299" s="1290"/>
      <c r="G299" s="1290"/>
      <c r="H299" s="1290"/>
      <c r="I299" s="1290"/>
      <c r="J299" s="1290"/>
      <c r="K299" s="1290"/>
      <c r="L299" s="1290"/>
      <c r="M299" s="1290"/>
      <c r="N299" s="1290"/>
      <c r="O299" s="1290"/>
      <c r="P299" s="1290"/>
    </row>
    <row r="300" spans="1:16" s="1335" customFormat="1">
      <c r="A300" s="1334"/>
      <c r="B300" s="1290"/>
      <c r="C300" s="1290"/>
      <c r="G300" s="1290"/>
      <c r="H300" s="1290"/>
      <c r="I300" s="1290"/>
      <c r="J300" s="1290"/>
      <c r="K300" s="1290"/>
      <c r="L300" s="1290"/>
      <c r="M300" s="1290"/>
      <c r="N300" s="1290"/>
      <c r="O300" s="1290"/>
      <c r="P300" s="1290"/>
    </row>
    <row r="301" spans="1:16" s="1335" customFormat="1">
      <c r="A301" s="1334"/>
      <c r="B301" s="1290"/>
      <c r="C301" s="1290"/>
      <c r="G301" s="1290"/>
      <c r="H301" s="1290"/>
      <c r="I301" s="1290"/>
      <c r="J301" s="1290"/>
      <c r="K301" s="1290"/>
      <c r="L301" s="1290"/>
      <c r="M301" s="1290"/>
      <c r="N301" s="1290"/>
      <c r="O301" s="1290"/>
      <c r="P301" s="1290"/>
    </row>
    <row r="302" spans="1:16" s="1335" customFormat="1">
      <c r="A302" s="1334"/>
      <c r="B302" s="1290"/>
      <c r="C302" s="1290"/>
      <c r="G302" s="1290"/>
      <c r="H302" s="1290"/>
      <c r="I302" s="1290"/>
      <c r="J302" s="1290"/>
      <c r="K302" s="1290"/>
      <c r="L302" s="1290"/>
      <c r="M302" s="1290"/>
      <c r="N302" s="1290"/>
      <c r="O302" s="1290"/>
      <c r="P302" s="1290"/>
    </row>
    <row r="303" spans="1:16" s="1335" customFormat="1">
      <c r="A303" s="1334"/>
      <c r="B303" s="1290"/>
      <c r="C303" s="1290"/>
      <c r="G303" s="1290"/>
      <c r="H303" s="1290"/>
      <c r="I303" s="1290"/>
      <c r="J303" s="1290"/>
      <c r="K303" s="1290"/>
      <c r="L303" s="1290"/>
      <c r="M303" s="1290"/>
      <c r="N303" s="1290"/>
      <c r="O303" s="1290"/>
      <c r="P303" s="1290"/>
    </row>
    <row r="304" spans="1:16" s="1335" customFormat="1">
      <c r="A304" s="1334"/>
      <c r="B304" s="1290"/>
      <c r="C304" s="1290"/>
      <c r="G304" s="1290"/>
      <c r="H304" s="1290"/>
      <c r="I304" s="1290"/>
      <c r="J304" s="1290"/>
      <c r="K304" s="1290"/>
      <c r="L304" s="1290"/>
      <c r="M304" s="1290"/>
      <c r="N304" s="1290"/>
      <c r="O304" s="1290"/>
      <c r="P304" s="1290"/>
    </row>
    <row r="305" spans="1:16" s="1335" customFormat="1">
      <c r="A305" s="1334"/>
      <c r="B305" s="1290"/>
      <c r="C305" s="1290"/>
      <c r="G305" s="1290"/>
      <c r="H305" s="1290"/>
      <c r="I305" s="1290"/>
      <c r="J305" s="1290"/>
      <c r="K305" s="1290"/>
      <c r="L305" s="1290"/>
      <c r="M305" s="1290"/>
      <c r="N305" s="1290"/>
      <c r="O305" s="1290"/>
      <c r="P305" s="1290"/>
    </row>
    <row r="306" spans="1:16" s="1335" customFormat="1">
      <c r="A306" s="1334"/>
      <c r="B306" s="1290"/>
      <c r="C306" s="1290"/>
      <c r="G306" s="1290"/>
      <c r="H306" s="1290"/>
      <c r="I306" s="1290"/>
      <c r="J306" s="1290"/>
      <c r="K306" s="1290"/>
      <c r="L306" s="1290"/>
      <c r="M306" s="1290"/>
      <c r="N306" s="1290"/>
      <c r="O306" s="1290"/>
      <c r="P306" s="1290"/>
    </row>
    <row r="307" spans="1:16" s="1335" customFormat="1">
      <c r="A307" s="1334"/>
      <c r="B307" s="1290"/>
      <c r="C307" s="1290"/>
      <c r="G307" s="1290"/>
      <c r="H307" s="1290"/>
      <c r="I307" s="1290"/>
      <c r="J307" s="1290"/>
      <c r="K307" s="1290"/>
      <c r="L307" s="1290"/>
      <c r="M307" s="1290"/>
      <c r="N307" s="1290"/>
      <c r="O307" s="1290"/>
      <c r="P307" s="1290"/>
    </row>
    <row r="308" spans="1:16" s="1335" customFormat="1">
      <c r="A308" s="1334"/>
      <c r="B308" s="1290"/>
      <c r="C308" s="1290"/>
      <c r="G308" s="1290"/>
      <c r="H308" s="1290"/>
      <c r="I308" s="1290"/>
      <c r="J308" s="1290"/>
      <c r="K308" s="1290"/>
      <c r="L308" s="1290"/>
      <c r="M308" s="1290"/>
      <c r="N308" s="1290"/>
      <c r="O308" s="1290"/>
      <c r="P308" s="1290"/>
    </row>
    <row r="309" spans="1:16" s="1335" customFormat="1">
      <c r="A309" s="1334"/>
      <c r="B309" s="1290"/>
      <c r="C309" s="1290"/>
      <c r="G309" s="1290"/>
      <c r="H309" s="1290"/>
      <c r="I309" s="1290"/>
      <c r="J309" s="1290"/>
      <c r="K309" s="1290"/>
      <c r="L309" s="1290"/>
      <c r="M309" s="1290"/>
      <c r="N309" s="1290"/>
      <c r="O309" s="1290"/>
      <c r="P309" s="1290"/>
    </row>
    <row r="310" spans="1:16" s="1335" customFormat="1">
      <c r="A310" s="1334"/>
      <c r="B310" s="1290"/>
      <c r="C310" s="1290"/>
      <c r="G310" s="1290"/>
      <c r="H310" s="1290"/>
      <c r="I310" s="1290"/>
      <c r="J310" s="1290"/>
      <c r="K310" s="1290"/>
      <c r="L310" s="1290"/>
      <c r="M310" s="1290"/>
      <c r="N310" s="1290"/>
      <c r="O310" s="1290"/>
      <c r="P310" s="1290"/>
    </row>
    <row r="311" spans="1:16" s="1335" customFormat="1">
      <c r="A311" s="1334"/>
      <c r="B311" s="1290"/>
      <c r="C311" s="1290"/>
      <c r="G311" s="1290"/>
      <c r="H311" s="1290"/>
      <c r="I311" s="1290"/>
      <c r="J311" s="1290"/>
      <c r="K311" s="1290"/>
      <c r="L311" s="1290"/>
      <c r="M311" s="1290"/>
      <c r="N311" s="1290"/>
      <c r="O311" s="1290"/>
      <c r="P311" s="1290"/>
    </row>
    <row r="312" spans="1:16" s="1335" customFormat="1">
      <c r="A312" s="1334"/>
      <c r="B312" s="1290"/>
      <c r="C312" s="1290"/>
      <c r="G312" s="1290"/>
      <c r="H312" s="1290"/>
      <c r="I312" s="1290"/>
      <c r="J312" s="1290"/>
      <c r="K312" s="1290"/>
      <c r="L312" s="1290"/>
      <c r="M312" s="1290"/>
      <c r="N312" s="1290"/>
      <c r="O312" s="1290"/>
      <c r="P312" s="1290"/>
    </row>
    <row r="313" spans="1:16" s="1335" customFormat="1">
      <c r="A313" s="1334"/>
      <c r="B313" s="1290"/>
      <c r="C313" s="1290"/>
      <c r="G313" s="1290"/>
      <c r="H313" s="1290"/>
      <c r="I313" s="1290"/>
      <c r="J313" s="1290"/>
      <c r="K313" s="1290"/>
      <c r="L313" s="1290"/>
      <c r="M313" s="1290"/>
      <c r="N313" s="1290"/>
      <c r="O313" s="1290"/>
      <c r="P313" s="1290"/>
    </row>
    <row r="314" spans="1:16" s="1335" customFormat="1">
      <c r="A314" s="1334"/>
      <c r="B314" s="1290"/>
      <c r="C314" s="1290"/>
      <c r="G314" s="1290"/>
      <c r="H314" s="1290"/>
      <c r="I314" s="1290"/>
      <c r="J314" s="1290"/>
      <c r="K314" s="1290"/>
      <c r="L314" s="1290"/>
      <c r="M314" s="1290"/>
      <c r="N314" s="1290"/>
      <c r="O314" s="1290"/>
      <c r="P314" s="1290"/>
    </row>
    <row r="315" spans="1:16" s="1335" customFormat="1">
      <c r="A315" s="1334"/>
      <c r="B315" s="1290"/>
      <c r="C315" s="1290"/>
      <c r="G315" s="1290"/>
      <c r="H315" s="1290"/>
      <c r="I315" s="1290"/>
      <c r="J315" s="1290"/>
      <c r="K315" s="1290"/>
      <c r="L315" s="1290"/>
      <c r="M315" s="1290"/>
      <c r="N315" s="1290"/>
      <c r="O315" s="1290"/>
      <c r="P315" s="1290"/>
    </row>
    <row r="316" spans="1:16" s="1335" customFormat="1">
      <c r="A316" s="1334"/>
      <c r="B316" s="1290"/>
      <c r="C316" s="1290"/>
      <c r="G316" s="1290"/>
      <c r="H316" s="1290"/>
      <c r="I316" s="1290"/>
      <c r="J316" s="1290"/>
      <c r="K316" s="1290"/>
      <c r="L316" s="1290"/>
      <c r="M316" s="1290"/>
      <c r="N316" s="1290"/>
      <c r="O316" s="1290"/>
      <c r="P316" s="1290"/>
    </row>
    <row r="317" spans="1:16" s="1335" customFormat="1">
      <c r="A317" s="1334"/>
      <c r="B317" s="1290"/>
      <c r="C317" s="1290"/>
      <c r="G317" s="1290"/>
      <c r="H317" s="1290"/>
      <c r="I317" s="1290"/>
      <c r="J317" s="1290"/>
      <c r="K317" s="1290"/>
      <c r="L317" s="1290"/>
      <c r="M317" s="1290"/>
      <c r="N317" s="1290"/>
      <c r="O317" s="1290"/>
      <c r="P317" s="1290"/>
    </row>
    <row r="318" spans="1:16" s="1335" customFormat="1">
      <c r="A318" s="1334"/>
      <c r="B318" s="1290"/>
      <c r="C318" s="1290"/>
      <c r="G318" s="1290"/>
      <c r="H318" s="1290"/>
      <c r="I318" s="1290"/>
      <c r="J318" s="1290"/>
      <c r="K318" s="1290"/>
      <c r="L318" s="1290"/>
      <c r="M318" s="1290"/>
      <c r="N318" s="1290"/>
      <c r="O318" s="1290"/>
      <c r="P318" s="1290"/>
    </row>
    <row r="319" spans="1:16" s="1335" customFormat="1">
      <c r="A319" s="1334"/>
      <c r="B319" s="1290"/>
      <c r="C319" s="1290"/>
      <c r="G319" s="1290"/>
      <c r="H319" s="1290"/>
      <c r="I319" s="1290"/>
      <c r="J319" s="1290"/>
      <c r="K319" s="1290"/>
      <c r="L319" s="1290"/>
      <c r="M319" s="1290"/>
      <c r="N319" s="1290"/>
      <c r="O319" s="1290"/>
      <c r="P319" s="1290"/>
    </row>
    <row r="320" spans="1:16" s="1335" customFormat="1">
      <c r="A320" s="1334"/>
      <c r="B320" s="1290"/>
      <c r="C320" s="1290"/>
      <c r="G320" s="1290"/>
      <c r="H320" s="1290"/>
      <c r="I320" s="1290"/>
      <c r="J320" s="1290"/>
      <c r="K320" s="1290"/>
      <c r="L320" s="1290"/>
      <c r="M320" s="1290"/>
      <c r="N320" s="1290"/>
      <c r="O320" s="1290"/>
      <c r="P320" s="1290"/>
    </row>
    <row r="321" spans="1:16" s="1335" customFormat="1">
      <c r="A321" s="1334"/>
      <c r="B321" s="1290"/>
      <c r="C321" s="1290"/>
      <c r="G321" s="1290"/>
      <c r="H321" s="1290"/>
      <c r="I321" s="1290"/>
      <c r="J321" s="1290"/>
      <c r="K321" s="1290"/>
      <c r="L321" s="1290"/>
      <c r="M321" s="1290"/>
      <c r="N321" s="1290"/>
      <c r="O321" s="1290"/>
      <c r="P321" s="1290"/>
    </row>
    <row r="322" spans="1:16" s="1335" customFormat="1">
      <c r="A322" s="1334"/>
      <c r="B322" s="1290"/>
      <c r="C322" s="1290"/>
      <c r="G322" s="1290"/>
      <c r="H322" s="1290"/>
      <c r="I322" s="1290"/>
      <c r="J322" s="1290"/>
      <c r="K322" s="1290"/>
      <c r="L322" s="1290"/>
      <c r="M322" s="1290"/>
      <c r="N322" s="1290"/>
      <c r="O322" s="1290"/>
      <c r="P322" s="1290"/>
    </row>
    <row r="323" spans="1:16" s="1335" customFormat="1">
      <c r="A323" s="1334"/>
      <c r="B323" s="1290"/>
      <c r="C323" s="1290"/>
      <c r="G323" s="1290"/>
      <c r="H323" s="1290"/>
      <c r="I323" s="1290"/>
      <c r="J323" s="1290"/>
      <c r="K323" s="1290"/>
      <c r="L323" s="1290"/>
      <c r="M323" s="1290"/>
      <c r="N323" s="1290"/>
      <c r="O323" s="1290"/>
      <c r="P323" s="1290"/>
    </row>
    <row r="324" spans="1:16" s="1335" customFormat="1">
      <c r="A324" s="1334"/>
      <c r="B324" s="1290"/>
      <c r="C324" s="1290"/>
      <c r="G324" s="1290"/>
      <c r="H324" s="1290"/>
      <c r="I324" s="1290"/>
      <c r="J324" s="1290"/>
      <c r="K324" s="1290"/>
      <c r="L324" s="1290"/>
      <c r="M324" s="1290"/>
      <c r="N324" s="1290"/>
      <c r="O324" s="1290"/>
      <c r="P324" s="1290"/>
    </row>
    <row r="325" spans="1:16" s="1335" customFormat="1">
      <c r="A325" s="1334"/>
      <c r="B325" s="1290"/>
      <c r="C325" s="1290"/>
      <c r="G325" s="1290"/>
      <c r="H325" s="1290"/>
      <c r="I325" s="1290"/>
      <c r="J325" s="1290"/>
      <c r="K325" s="1290"/>
      <c r="L325" s="1290"/>
      <c r="M325" s="1290"/>
      <c r="N325" s="1290"/>
      <c r="O325" s="1290"/>
      <c r="P325" s="1290"/>
    </row>
    <row r="326" spans="1:16" s="1335" customFormat="1">
      <c r="A326" s="1334"/>
      <c r="B326" s="1290"/>
      <c r="C326" s="1290"/>
      <c r="G326" s="1290"/>
      <c r="H326" s="1290"/>
      <c r="I326" s="1290"/>
      <c r="J326" s="1290"/>
      <c r="K326" s="1290"/>
      <c r="L326" s="1290"/>
      <c r="M326" s="1290"/>
      <c r="N326" s="1290"/>
      <c r="O326" s="1290"/>
      <c r="P326" s="1290"/>
    </row>
    <row r="327" spans="1:16" s="1335" customFormat="1">
      <c r="A327" s="1334"/>
      <c r="B327" s="1290"/>
      <c r="C327" s="1290"/>
      <c r="G327" s="1290"/>
      <c r="H327" s="1290"/>
      <c r="I327" s="1290"/>
      <c r="J327" s="1290"/>
      <c r="K327" s="1290"/>
      <c r="L327" s="1290"/>
      <c r="M327" s="1290"/>
      <c r="N327" s="1290"/>
      <c r="O327" s="1290"/>
      <c r="P327" s="1290"/>
    </row>
    <row r="328" spans="1:16" s="1335" customFormat="1">
      <c r="A328" s="1334"/>
      <c r="B328" s="1290"/>
      <c r="C328" s="1290"/>
      <c r="G328" s="1290"/>
      <c r="H328" s="1290"/>
      <c r="I328" s="1290"/>
      <c r="J328" s="1290"/>
      <c r="K328" s="1290"/>
      <c r="L328" s="1290"/>
      <c r="M328" s="1290"/>
      <c r="N328" s="1290"/>
      <c r="O328" s="1290"/>
      <c r="P328" s="1290"/>
    </row>
    <row r="329" spans="1:16" s="1335" customFormat="1">
      <c r="A329" s="1334"/>
      <c r="B329" s="1290"/>
      <c r="C329" s="1290"/>
      <c r="G329" s="1290"/>
      <c r="H329" s="1290"/>
      <c r="I329" s="1290"/>
      <c r="J329" s="1290"/>
      <c r="K329" s="1290"/>
      <c r="L329" s="1290"/>
      <c r="M329" s="1290"/>
      <c r="N329" s="1290"/>
      <c r="O329" s="1290"/>
      <c r="P329" s="1290"/>
    </row>
    <row r="330" spans="1:16" s="1335" customFormat="1">
      <c r="A330" s="1334"/>
      <c r="B330" s="1290"/>
      <c r="C330" s="1290"/>
      <c r="G330" s="1290"/>
      <c r="H330" s="1290"/>
      <c r="I330" s="1290"/>
      <c r="J330" s="1290"/>
      <c r="K330" s="1290"/>
      <c r="L330" s="1290"/>
      <c r="M330" s="1290"/>
      <c r="N330" s="1290"/>
      <c r="O330" s="1290"/>
      <c r="P330" s="1290"/>
    </row>
    <row r="331" spans="1:16" s="1335" customFormat="1">
      <c r="A331" s="1334"/>
      <c r="B331" s="1290"/>
      <c r="C331" s="1290"/>
      <c r="G331" s="1290"/>
      <c r="H331" s="1290"/>
      <c r="I331" s="1290"/>
      <c r="J331" s="1290"/>
      <c r="K331" s="1290"/>
      <c r="L331" s="1290"/>
      <c r="M331" s="1290"/>
      <c r="N331" s="1290"/>
      <c r="O331" s="1290"/>
      <c r="P331" s="1290"/>
    </row>
    <row r="332" spans="1:16" s="1335" customFormat="1">
      <c r="A332" s="1334"/>
      <c r="B332" s="1290"/>
      <c r="C332" s="1290"/>
      <c r="G332" s="1290"/>
      <c r="H332" s="1290"/>
      <c r="I332" s="1290"/>
      <c r="J332" s="1290"/>
      <c r="K332" s="1290"/>
      <c r="L332" s="1290"/>
      <c r="M332" s="1290"/>
      <c r="N332" s="1290"/>
      <c r="O332" s="1290"/>
      <c r="P332" s="1290"/>
    </row>
    <row r="333" spans="1:16" s="1335" customFormat="1">
      <c r="A333" s="1334"/>
      <c r="B333" s="1290"/>
      <c r="C333" s="1290"/>
      <c r="G333" s="1290"/>
      <c r="H333" s="1290"/>
      <c r="I333" s="1290"/>
      <c r="J333" s="1290"/>
      <c r="K333" s="1290"/>
      <c r="L333" s="1290"/>
      <c r="M333" s="1290"/>
      <c r="N333" s="1290"/>
      <c r="O333" s="1290"/>
      <c r="P333" s="1290"/>
    </row>
    <row r="334" spans="1:16" s="1335" customFormat="1">
      <c r="A334" s="1334"/>
      <c r="B334" s="1290"/>
      <c r="C334" s="1290"/>
      <c r="G334" s="1290"/>
      <c r="H334" s="1290"/>
      <c r="I334" s="1290"/>
      <c r="J334" s="1290"/>
      <c r="K334" s="1290"/>
      <c r="L334" s="1290"/>
      <c r="M334" s="1290"/>
      <c r="N334" s="1290"/>
      <c r="O334" s="1290"/>
      <c r="P334" s="1290"/>
    </row>
    <row r="335" spans="1:16" s="1335" customFormat="1">
      <c r="A335" s="1334"/>
      <c r="B335" s="1290"/>
      <c r="C335" s="1290"/>
      <c r="G335" s="1290"/>
      <c r="H335" s="1290"/>
      <c r="I335" s="1290"/>
      <c r="J335" s="1290"/>
      <c r="K335" s="1290"/>
      <c r="L335" s="1290"/>
      <c r="M335" s="1290"/>
      <c r="N335" s="1290"/>
      <c r="O335" s="1290"/>
      <c r="P335" s="1290"/>
    </row>
    <row r="336" spans="1:16" s="1335" customFormat="1">
      <c r="A336" s="1334"/>
      <c r="B336" s="1290"/>
      <c r="C336" s="1290"/>
      <c r="G336" s="1290"/>
      <c r="H336" s="1290"/>
      <c r="I336" s="1290"/>
      <c r="J336" s="1290"/>
      <c r="K336" s="1290"/>
      <c r="L336" s="1290"/>
      <c r="M336" s="1290"/>
      <c r="N336" s="1290"/>
      <c r="O336" s="1290"/>
      <c r="P336" s="1290"/>
    </row>
    <row r="337" spans="1:16" s="1335" customFormat="1">
      <c r="A337" s="1334"/>
      <c r="B337" s="1290"/>
      <c r="C337" s="1290"/>
      <c r="G337" s="1290"/>
      <c r="H337" s="1290"/>
      <c r="I337" s="1290"/>
      <c r="J337" s="1290"/>
      <c r="K337" s="1290"/>
      <c r="L337" s="1290"/>
      <c r="M337" s="1290"/>
      <c r="N337" s="1290"/>
      <c r="O337" s="1290"/>
      <c r="P337" s="1290"/>
    </row>
    <row r="338" spans="1:16" s="1335" customFormat="1">
      <c r="A338" s="1334"/>
      <c r="B338" s="1290"/>
      <c r="C338" s="1290"/>
      <c r="G338" s="1290"/>
      <c r="H338" s="1290"/>
      <c r="I338" s="1290"/>
      <c r="J338" s="1290"/>
      <c r="K338" s="1290"/>
      <c r="L338" s="1290"/>
      <c r="M338" s="1290"/>
      <c r="N338" s="1290"/>
      <c r="O338" s="1290"/>
      <c r="P338" s="1290"/>
    </row>
    <row r="339" spans="1:16" s="1335" customFormat="1">
      <c r="A339" s="1334"/>
      <c r="B339" s="1290"/>
      <c r="C339" s="1290"/>
      <c r="G339" s="1290"/>
      <c r="H339" s="1290"/>
      <c r="I339" s="1290"/>
      <c r="J339" s="1290"/>
      <c r="K339" s="1290"/>
      <c r="L339" s="1290"/>
      <c r="M339" s="1290"/>
      <c r="N339" s="1290"/>
      <c r="O339" s="1290"/>
      <c r="P339" s="1290"/>
    </row>
    <row r="340" spans="1:16" s="1335" customFormat="1">
      <c r="A340" s="1334"/>
      <c r="B340" s="1290"/>
      <c r="C340" s="1290"/>
      <c r="G340" s="1290"/>
      <c r="H340" s="1290"/>
      <c r="I340" s="1290"/>
      <c r="J340" s="1290"/>
      <c r="K340" s="1290"/>
      <c r="L340" s="1290"/>
      <c r="M340" s="1290"/>
      <c r="N340" s="1290"/>
      <c r="O340" s="1290"/>
      <c r="P340" s="1290"/>
    </row>
    <row r="341" spans="1:16" s="1335" customFormat="1">
      <c r="A341" s="1334"/>
      <c r="B341" s="1290"/>
      <c r="C341" s="1290"/>
      <c r="G341" s="1290"/>
      <c r="H341" s="1290"/>
      <c r="I341" s="1290"/>
      <c r="J341" s="1290"/>
      <c r="K341" s="1290"/>
      <c r="L341" s="1290"/>
      <c r="M341" s="1290"/>
      <c r="N341" s="1290"/>
      <c r="O341" s="1290"/>
      <c r="P341" s="1290"/>
    </row>
    <row r="342" spans="1:16" s="1335" customFormat="1">
      <c r="A342" s="1334"/>
      <c r="B342" s="1290"/>
      <c r="C342" s="1290"/>
      <c r="G342" s="1290"/>
      <c r="H342" s="1290"/>
      <c r="I342" s="1290"/>
      <c r="J342" s="1290"/>
      <c r="K342" s="1290"/>
      <c r="L342" s="1290"/>
      <c r="M342" s="1290"/>
      <c r="N342" s="1290"/>
      <c r="O342" s="1290"/>
      <c r="P342" s="1290"/>
    </row>
    <row r="343" spans="1:16" s="1335" customFormat="1">
      <c r="A343" s="1334"/>
      <c r="B343" s="1290"/>
      <c r="C343" s="1290"/>
      <c r="G343" s="1290"/>
      <c r="H343" s="1290"/>
      <c r="I343" s="1290"/>
      <c r="J343" s="1290"/>
      <c r="K343" s="1290"/>
      <c r="L343" s="1290"/>
      <c r="M343" s="1290"/>
      <c r="N343" s="1290"/>
      <c r="O343" s="1290"/>
      <c r="P343" s="1290"/>
    </row>
    <row r="344" spans="1:16" s="1335" customFormat="1">
      <c r="A344" s="1334"/>
      <c r="B344" s="1290"/>
      <c r="C344" s="1290"/>
      <c r="G344" s="1290"/>
      <c r="H344" s="1290"/>
      <c r="I344" s="1290"/>
      <c r="J344" s="1290"/>
      <c r="K344" s="1290"/>
      <c r="L344" s="1290"/>
      <c r="M344" s="1290"/>
      <c r="N344" s="1290"/>
      <c r="O344" s="1290"/>
      <c r="P344" s="1290"/>
    </row>
    <row r="345" spans="1:16" s="1335" customFormat="1">
      <c r="A345" s="1334"/>
      <c r="B345" s="1290"/>
      <c r="C345" s="1290"/>
      <c r="G345" s="1290"/>
      <c r="H345" s="1290"/>
      <c r="I345" s="1290"/>
      <c r="J345" s="1290"/>
      <c r="K345" s="1290"/>
      <c r="L345" s="1290"/>
      <c r="M345" s="1290"/>
      <c r="N345" s="1290"/>
      <c r="O345" s="1290"/>
      <c r="P345" s="1290"/>
    </row>
    <row r="346" spans="1:16" s="1335" customFormat="1">
      <c r="A346" s="1334"/>
      <c r="B346" s="1290"/>
      <c r="C346" s="1290"/>
      <c r="G346" s="1290"/>
      <c r="H346" s="1290"/>
      <c r="I346" s="1290"/>
      <c r="J346" s="1290"/>
      <c r="K346" s="1290"/>
      <c r="L346" s="1290"/>
      <c r="M346" s="1290"/>
      <c r="N346" s="1290"/>
      <c r="O346" s="1290"/>
      <c r="P346" s="1290"/>
    </row>
    <row r="347" spans="1:16" s="1335" customFormat="1">
      <c r="A347" s="1334"/>
      <c r="B347" s="1290"/>
      <c r="C347" s="1290"/>
      <c r="G347" s="1290"/>
      <c r="H347" s="1290"/>
      <c r="I347" s="1290"/>
      <c r="J347" s="1290"/>
      <c r="K347" s="1290"/>
      <c r="L347" s="1290"/>
      <c r="M347" s="1290"/>
      <c r="N347" s="1290"/>
      <c r="O347" s="1290"/>
      <c r="P347" s="1290"/>
    </row>
    <row r="348" spans="1:16" s="1335" customFormat="1">
      <c r="A348" s="1334"/>
      <c r="B348" s="1290"/>
      <c r="C348" s="1290"/>
      <c r="G348" s="1290"/>
      <c r="H348" s="1290"/>
      <c r="I348" s="1290"/>
      <c r="J348" s="1290"/>
      <c r="K348" s="1290"/>
      <c r="L348" s="1290"/>
      <c r="M348" s="1290"/>
      <c r="N348" s="1290"/>
      <c r="O348" s="1290"/>
      <c r="P348" s="1290"/>
    </row>
    <row r="349" spans="1:16" s="1335" customFormat="1">
      <c r="A349" s="1334"/>
      <c r="B349" s="1290"/>
      <c r="C349" s="1290"/>
      <c r="G349" s="1290"/>
      <c r="H349" s="1290"/>
      <c r="I349" s="1290"/>
      <c r="J349" s="1290"/>
      <c r="K349" s="1290"/>
      <c r="L349" s="1290"/>
      <c r="M349" s="1290"/>
      <c r="N349" s="1290"/>
      <c r="O349" s="1290"/>
      <c r="P349" s="1290"/>
    </row>
    <row r="350" spans="1:16" s="1335" customFormat="1">
      <c r="A350" s="1334"/>
      <c r="B350" s="1290"/>
      <c r="C350" s="1290"/>
      <c r="G350" s="1290"/>
      <c r="H350" s="1290"/>
      <c r="I350" s="1290"/>
      <c r="J350" s="1290"/>
      <c r="K350" s="1290"/>
      <c r="L350" s="1290"/>
      <c r="M350" s="1290"/>
      <c r="N350" s="1290"/>
      <c r="O350" s="1290"/>
      <c r="P350" s="1290"/>
    </row>
    <row r="351" spans="1:16" s="1335" customFormat="1">
      <c r="A351" s="1334"/>
      <c r="B351" s="1290"/>
      <c r="C351" s="1290"/>
      <c r="G351" s="1290"/>
      <c r="H351" s="1290"/>
      <c r="I351" s="1290"/>
      <c r="J351" s="1290"/>
      <c r="K351" s="1290"/>
      <c r="L351" s="1290"/>
      <c r="M351" s="1290"/>
      <c r="N351" s="1290"/>
      <c r="O351" s="1290"/>
      <c r="P351" s="1290"/>
    </row>
    <row r="352" spans="1:16" s="1335" customFormat="1">
      <c r="A352" s="1334"/>
      <c r="B352" s="1290"/>
      <c r="C352" s="1290"/>
      <c r="G352" s="1290"/>
      <c r="H352" s="1290"/>
      <c r="I352" s="1290"/>
      <c r="J352" s="1290"/>
      <c r="K352" s="1290"/>
      <c r="L352" s="1290"/>
      <c r="M352" s="1290"/>
      <c r="N352" s="1290"/>
      <c r="O352" s="1290"/>
      <c r="P352" s="1290"/>
    </row>
    <row r="353" spans="1:16" s="1335" customFormat="1">
      <c r="A353" s="1334"/>
      <c r="B353" s="1290"/>
      <c r="C353" s="1290"/>
      <c r="G353" s="1290"/>
      <c r="H353" s="1290"/>
      <c r="I353" s="1290"/>
      <c r="J353" s="1290"/>
      <c r="K353" s="1290"/>
      <c r="L353" s="1290"/>
      <c r="M353" s="1290"/>
      <c r="N353" s="1290"/>
      <c r="O353" s="1290"/>
      <c r="P353" s="1290"/>
    </row>
    <row r="354" spans="1:16" s="1335" customFormat="1">
      <c r="A354" s="1334"/>
      <c r="B354" s="1290"/>
      <c r="C354" s="1290"/>
      <c r="G354" s="1290"/>
      <c r="H354" s="1290"/>
      <c r="I354" s="1290"/>
      <c r="J354" s="1290"/>
      <c r="K354" s="1290"/>
      <c r="L354" s="1290"/>
      <c r="M354" s="1290"/>
      <c r="N354" s="1290"/>
      <c r="O354" s="1290"/>
      <c r="P354" s="1290"/>
    </row>
    <row r="355" spans="1:16" s="1335" customFormat="1">
      <c r="A355" s="1334"/>
      <c r="B355" s="1290"/>
      <c r="C355" s="1290"/>
      <c r="G355" s="1290"/>
      <c r="H355" s="1290"/>
      <c r="I355" s="1290"/>
      <c r="J355" s="1290"/>
      <c r="K355" s="1290"/>
      <c r="L355" s="1290"/>
      <c r="M355" s="1290"/>
      <c r="N355" s="1290"/>
      <c r="O355" s="1290"/>
      <c r="P355" s="1290"/>
    </row>
    <row r="356" spans="1:16" s="1335" customFormat="1">
      <c r="A356" s="1334"/>
      <c r="B356" s="1290"/>
      <c r="C356" s="1290"/>
      <c r="G356" s="1290"/>
      <c r="H356" s="1290"/>
      <c r="I356" s="1290"/>
      <c r="J356" s="1290"/>
      <c r="K356" s="1290"/>
      <c r="L356" s="1290"/>
      <c r="M356" s="1290"/>
      <c r="N356" s="1290"/>
      <c r="O356" s="1290"/>
      <c r="P356" s="1290"/>
    </row>
    <row r="357" spans="1:16" s="1335" customFormat="1">
      <c r="A357" s="1334"/>
      <c r="B357" s="1290"/>
      <c r="C357" s="1290"/>
      <c r="G357" s="1290"/>
      <c r="H357" s="1290"/>
      <c r="I357" s="1290"/>
      <c r="J357" s="1290"/>
      <c r="K357" s="1290"/>
      <c r="L357" s="1290"/>
      <c r="M357" s="1290"/>
      <c r="N357" s="1290"/>
      <c r="O357" s="1290"/>
      <c r="P357" s="1290"/>
    </row>
    <row r="358" spans="1:16" s="1335" customFormat="1">
      <c r="A358" s="1334"/>
      <c r="B358" s="1290"/>
      <c r="C358" s="1290"/>
      <c r="G358" s="1290"/>
      <c r="H358" s="1290"/>
      <c r="I358" s="1290"/>
      <c r="J358" s="1290"/>
      <c r="K358" s="1290"/>
      <c r="L358" s="1290"/>
      <c r="M358" s="1290"/>
      <c r="N358" s="1290"/>
      <c r="O358" s="1290"/>
      <c r="P358" s="1290"/>
    </row>
    <row r="359" spans="1:16" s="1335" customFormat="1">
      <c r="A359" s="1334"/>
      <c r="B359" s="1290"/>
      <c r="C359" s="1290"/>
      <c r="G359" s="1290"/>
      <c r="H359" s="1290"/>
      <c r="I359" s="1290"/>
      <c r="J359" s="1290"/>
      <c r="K359" s="1290"/>
      <c r="L359" s="1290"/>
      <c r="M359" s="1290"/>
      <c r="N359" s="1290"/>
      <c r="O359" s="1290"/>
      <c r="P359" s="1290"/>
    </row>
    <row r="360" spans="1:16" s="1335" customFormat="1">
      <c r="A360" s="1334"/>
      <c r="B360" s="1290"/>
      <c r="C360" s="1290"/>
      <c r="G360" s="1290"/>
      <c r="H360" s="1290"/>
      <c r="I360" s="1290"/>
      <c r="J360" s="1290"/>
      <c r="K360" s="1290"/>
      <c r="L360" s="1290"/>
      <c r="M360" s="1290"/>
      <c r="N360" s="1290"/>
      <c r="O360" s="1290"/>
      <c r="P360" s="1290"/>
    </row>
    <row r="361" spans="1:16" s="1335" customFormat="1">
      <c r="A361" s="1334"/>
      <c r="B361" s="1290"/>
      <c r="C361" s="1290"/>
      <c r="G361" s="1290"/>
      <c r="H361" s="1290"/>
      <c r="I361" s="1290"/>
      <c r="J361" s="1290"/>
      <c r="K361" s="1290"/>
      <c r="L361" s="1290"/>
      <c r="M361" s="1290"/>
      <c r="N361" s="1290"/>
      <c r="O361" s="1290"/>
      <c r="P361" s="1290"/>
    </row>
    <row r="362" spans="1:16" s="1335" customFormat="1">
      <c r="A362" s="1334"/>
      <c r="B362" s="1290"/>
      <c r="C362" s="1290"/>
      <c r="G362" s="1290"/>
      <c r="H362" s="1290"/>
      <c r="I362" s="1290"/>
      <c r="J362" s="1290"/>
      <c r="K362" s="1290"/>
      <c r="L362" s="1290"/>
      <c r="M362" s="1290"/>
      <c r="N362" s="1290"/>
      <c r="O362" s="1290"/>
      <c r="P362" s="1290"/>
    </row>
    <row r="363" spans="1:16" s="1335" customFormat="1">
      <c r="A363" s="1334"/>
      <c r="B363" s="1290"/>
      <c r="C363" s="1290"/>
      <c r="G363" s="1290"/>
      <c r="H363" s="1290"/>
      <c r="I363" s="1290"/>
      <c r="J363" s="1290"/>
      <c r="K363" s="1290"/>
      <c r="L363" s="1290"/>
      <c r="M363" s="1290"/>
      <c r="N363" s="1290"/>
      <c r="O363" s="1290"/>
      <c r="P363" s="1290"/>
    </row>
    <row r="364" spans="1:16" s="1335" customFormat="1">
      <c r="A364" s="1334"/>
      <c r="B364" s="1290"/>
      <c r="C364" s="1290"/>
      <c r="G364" s="1290"/>
      <c r="H364" s="1290"/>
      <c r="I364" s="1290"/>
      <c r="J364" s="1290"/>
      <c r="K364" s="1290"/>
      <c r="L364" s="1290"/>
      <c r="M364" s="1290"/>
      <c r="N364" s="1290"/>
      <c r="O364" s="1290"/>
      <c r="P364" s="1290"/>
    </row>
    <row r="365" spans="1:16" s="1335" customFormat="1">
      <c r="A365" s="1334"/>
      <c r="B365" s="1290"/>
      <c r="C365" s="1290"/>
      <c r="G365" s="1290"/>
      <c r="H365" s="1290"/>
      <c r="I365" s="1290"/>
      <c r="J365" s="1290"/>
      <c r="K365" s="1290"/>
      <c r="L365" s="1290"/>
      <c r="M365" s="1290"/>
      <c r="N365" s="1290"/>
      <c r="O365" s="1290"/>
      <c r="P365" s="1290"/>
    </row>
    <row r="366" spans="1:16" s="1335" customFormat="1">
      <c r="A366" s="1334"/>
      <c r="B366" s="1290"/>
      <c r="C366" s="1290"/>
      <c r="G366" s="1290"/>
      <c r="H366" s="1290"/>
      <c r="I366" s="1290"/>
      <c r="J366" s="1290"/>
      <c r="K366" s="1290"/>
      <c r="L366" s="1290"/>
      <c r="M366" s="1290"/>
      <c r="N366" s="1290"/>
      <c r="O366" s="1290"/>
      <c r="P366" s="1290"/>
    </row>
    <row r="367" spans="1:16" s="1335" customFormat="1">
      <c r="A367" s="1334"/>
      <c r="B367" s="1290"/>
      <c r="C367" s="1290"/>
      <c r="G367" s="1290"/>
      <c r="H367" s="1290"/>
      <c r="I367" s="1290"/>
      <c r="J367" s="1290"/>
      <c r="K367" s="1290"/>
      <c r="L367" s="1290"/>
      <c r="M367" s="1290"/>
      <c r="N367" s="1290"/>
      <c r="O367" s="1290"/>
      <c r="P367" s="1290"/>
    </row>
    <row r="368" spans="1:16" s="1335" customFormat="1">
      <c r="A368" s="1334"/>
      <c r="B368" s="1290"/>
      <c r="C368" s="1290"/>
      <c r="G368" s="1290"/>
      <c r="H368" s="1290"/>
      <c r="I368" s="1290"/>
      <c r="J368" s="1290"/>
      <c r="K368" s="1290"/>
      <c r="L368" s="1290"/>
      <c r="M368" s="1290"/>
      <c r="N368" s="1290"/>
      <c r="O368" s="1290"/>
      <c r="P368" s="1290"/>
    </row>
    <row r="369" spans="1:16" s="1335" customFormat="1">
      <c r="A369" s="1334"/>
      <c r="B369" s="1290"/>
      <c r="C369" s="1290"/>
      <c r="G369" s="1290"/>
      <c r="H369" s="1290"/>
      <c r="I369" s="1290"/>
      <c r="J369" s="1290"/>
      <c r="K369" s="1290"/>
      <c r="L369" s="1290"/>
      <c r="M369" s="1290"/>
      <c r="N369" s="1290"/>
      <c r="O369" s="1290"/>
      <c r="P369" s="1290"/>
    </row>
    <row r="370" spans="1:16" s="1335" customFormat="1">
      <c r="A370" s="1334"/>
      <c r="B370" s="1290"/>
      <c r="C370" s="1290"/>
      <c r="G370" s="1290"/>
      <c r="H370" s="1290"/>
      <c r="I370" s="1290"/>
      <c r="J370" s="1290"/>
      <c r="K370" s="1290"/>
      <c r="L370" s="1290"/>
      <c r="M370" s="1290"/>
      <c r="N370" s="1290"/>
      <c r="O370" s="1290"/>
      <c r="P370" s="1290"/>
    </row>
    <row r="371" spans="1:16" s="1335" customFormat="1">
      <c r="A371" s="1334"/>
      <c r="B371" s="1290"/>
      <c r="C371" s="1290"/>
      <c r="G371" s="1290"/>
      <c r="H371" s="1290"/>
      <c r="I371" s="1290"/>
      <c r="J371" s="1290"/>
      <c r="K371" s="1290"/>
      <c r="L371" s="1290"/>
      <c r="M371" s="1290"/>
      <c r="N371" s="1290"/>
      <c r="O371" s="1290"/>
      <c r="P371" s="1290"/>
    </row>
    <row r="372" spans="1:16" s="1335" customFormat="1">
      <c r="A372" s="1334"/>
      <c r="B372" s="1290"/>
      <c r="C372" s="1290"/>
      <c r="G372" s="1290"/>
      <c r="H372" s="1290"/>
      <c r="I372" s="1290"/>
      <c r="J372" s="1290"/>
      <c r="K372" s="1290"/>
      <c r="L372" s="1290"/>
      <c r="M372" s="1290"/>
      <c r="N372" s="1290"/>
      <c r="O372" s="1290"/>
      <c r="P372" s="1290"/>
    </row>
    <row r="373" spans="1:16" s="1335" customFormat="1">
      <c r="A373" s="1334"/>
      <c r="B373" s="1290"/>
      <c r="C373" s="1290"/>
      <c r="G373" s="1290"/>
      <c r="H373" s="1290"/>
      <c r="I373" s="1290"/>
      <c r="J373" s="1290"/>
      <c r="K373" s="1290"/>
      <c r="L373" s="1290"/>
      <c r="M373" s="1290"/>
      <c r="N373" s="1290"/>
      <c r="O373" s="1290"/>
      <c r="P373" s="1290"/>
    </row>
    <row r="374" spans="1:16" s="1335" customFormat="1">
      <c r="A374" s="1334"/>
      <c r="B374" s="1290"/>
      <c r="C374" s="1290"/>
      <c r="G374" s="1290"/>
      <c r="H374" s="1290"/>
      <c r="I374" s="1290"/>
      <c r="J374" s="1290"/>
      <c r="K374" s="1290"/>
      <c r="L374" s="1290"/>
      <c r="M374" s="1290"/>
      <c r="N374" s="1290"/>
      <c r="O374" s="1290"/>
      <c r="P374" s="1290"/>
    </row>
    <row r="375" spans="1:16" s="1335" customFormat="1">
      <c r="A375" s="1334"/>
      <c r="B375" s="1290"/>
      <c r="C375" s="1290"/>
      <c r="G375" s="1290"/>
      <c r="H375" s="1290"/>
      <c r="I375" s="1290"/>
      <c r="J375" s="1290"/>
      <c r="K375" s="1290"/>
      <c r="L375" s="1290"/>
      <c r="M375" s="1290"/>
      <c r="N375" s="1290"/>
      <c r="O375" s="1290"/>
      <c r="P375" s="1290"/>
    </row>
    <row r="376" spans="1:16" s="1335" customFormat="1">
      <c r="A376" s="1334"/>
      <c r="B376" s="1290"/>
      <c r="C376" s="1290"/>
      <c r="G376" s="1290"/>
      <c r="H376" s="1290"/>
      <c r="I376" s="1290"/>
      <c r="J376" s="1290"/>
      <c r="K376" s="1290"/>
      <c r="L376" s="1290"/>
      <c r="M376" s="1290"/>
      <c r="N376" s="1290"/>
      <c r="O376" s="1290"/>
      <c r="P376" s="1290"/>
    </row>
    <row r="377" spans="1:16" s="1335" customFormat="1">
      <c r="A377" s="1334"/>
      <c r="B377" s="1290"/>
      <c r="C377" s="1290"/>
      <c r="G377" s="1290"/>
      <c r="H377" s="1290"/>
      <c r="I377" s="1290"/>
      <c r="J377" s="1290"/>
      <c r="K377" s="1290"/>
      <c r="L377" s="1290"/>
      <c r="M377" s="1290"/>
      <c r="N377" s="1290"/>
      <c r="O377" s="1290"/>
      <c r="P377" s="1290"/>
    </row>
    <row r="378" spans="1:16" s="1335" customFormat="1">
      <c r="A378" s="1334"/>
      <c r="B378" s="1290"/>
      <c r="C378" s="1290"/>
      <c r="G378" s="1290"/>
      <c r="H378" s="1290"/>
      <c r="I378" s="1290"/>
      <c r="J378" s="1290"/>
      <c r="K378" s="1290"/>
      <c r="L378" s="1290"/>
      <c r="M378" s="1290"/>
      <c r="N378" s="1290"/>
      <c r="O378" s="1290"/>
      <c r="P378" s="1290"/>
    </row>
    <row r="379" spans="1:16" s="1335" customFormat="1">
      <c r="A379" s="1334"/>
      <c r="B379" s="1290"/>
      <c r="C379" s="1290"/>
      <c r="G379" s="1290"/>
      <c r="H379" s="1290"/>
      <c r="I379" s="1290"/>
      <c r="J379" s="1290"/>
      <c r="K379" s="1290"/>
      <c r="L379" s="1290"/>
      <c r="M379" s="1290"/>
      <c r="N379" s="1290"/>
      <c r="O379" s="1290"/>
      <c r="P379" s="1290"/>
    </row>
    <row r="380" spans="1:16" s="1335" customFormat="1">
      <c r="A380" s="1334"/>
      <c r="B380" s="1290"/>
      <c r="C380" s="1290"/>
      <c r="G380" s="1290"/>
      <c r="H380" s="1290"/>
      <c r="I380" s="1290"/>
      <c r="J380" s="1290"/>
      <c r="K380" s="1290"/>
      <c r="L380" s="1290"/>
      <c r="M380" s="1290"/>
      <c r="N380" s="1290"/>
      <c r="O380" s="1290"/>
      <c r="P380" s="1290"/>
    </row>
    <row r="381" spans="1:16" s="1335" customFormat="1">
      <c r="A381" s="1334"/>
      <c r="B381" s="1290"/>
      <c r="C381" s="1290"/>
      <c r="G381" s="1290"/>
      <c r="H381" s="1290"/>
      <c r="I381" s="1290"/>
      <c r="J381" s="1290"/>
      <c r="K381" s="1290"/>
      <c r="L381" s="1290"/>
      <c r="M381" s="1290"/>
      <c r="N381" s="1290"/>
      <c r="O381" s="1290"/>
      <c r="P381" s="1290"/>
    </row>
    <row r="382" spans="1:16" s="1335" customFormat="1">
      <c r="A382" s="1334"/>
      <c r="B382" s="1290"/>
      <c r="C382" s="1290"/>
      <c r="G382" s="1290"/>
      <c r="H382" s="1290"/>
      <c r="I382" s="1290"/>
      <c r="J382" s="1290"/>
      <c r="K382" s="1290"/>
      <c r="L382" s="1290"/>
      <c r="M382" s="1290"/>
      <c r="N382" s="1290"/>
      <c r="O382" s="1290"/>
      <c r="P382" s="1290"/>
    </row>
    <row r="383" spans="1:16" s="1335" customFormat="1">
      <c r="A383" s="1334"/>
      <c r="B383" s="1290"/>
      <c r="C383" s="1290"/>
      <c r="G383" s="1290"/>
      <c r="H383" s="1290"/>
      <c r="I383" s="1290"/>
      <c r="J383" s="1290"/>
      <c r="K383" s="1290"/>
      <c r="L383" s="1290"/>
      <c r="M383" s="1290"/>
      <c r="N383" s="1290"/>
      <c r="O383" s="1290"/>
      <c r="P383" s="1290"/>
    </row>
    <row r="384" spans="1:16" s="1335" customFormat="1">
      <c r="A384" s="1334"/>
      <c r="B384" s="1290"/>
      <c r="C384" s="1290"/>
      <c r="G384" s="1290"/>
      <c r="H384" s="1290"/>
      <c r="I384" s="1290"/>
      <c r="J384" s="1290"/>
      <c r="K384" s="1290"/>
      <c r="L384" s="1290"/>
      <c r="M384" s="1290"/>
      <c r="N384" s="1290"/>
      <c r="O384" s="1290"/>
      <c r="P384" s="1290"/>
    </row>
    <row r="385" spans="1:16" s="1335" customFormat="1">
      <c r="A385" s="1334"/>
      <c r="B385" s="1290"/>
      <c r="C385" s="1290"/>
      <c r="G385" s="1290"/>
      <c r="H385" s="1290"/>
      <c r="I385" s="1290"/>
      <c r="J385" s="1290"/>
      <c r="K385" s="1290"/>
      <c r="L385" s="1290"/>
      <c r="M385" s="1290"/>
      <c r="N385" s="1290"/>
      <c r="O385" s="1290"/>
      <c r="P385" s="1290"/>
    </row>
    <row r="386" spans="1:16" s="1335" customFormat="1">
      <c r="A386" s="1334"/>
      <c r="B386" s="1290"/>
      <c r="C386" s="1290"/>
      <c r="G386" s="1290"/>
      <c r="H386" s="1290"/>
      <c r="I386" s="1290"/>
      <c r="J386" s="1290"/>
      <c r="K386" s="1290"/>
      <c r="L386" s="1290"/>
      <c r="M386" s="1290"/>
      <c r="N386" s="1290"/>
      <c r="O386" s="1290"/>
      <c r="P386" s="1290"/>
    </row>
    <row r="387" spans="1:16" s="1335" customFormat="1">
      <c r="A387" s="1334"/>
      <c r="B387" s="1290"/>
      <c r="C387" s="1290"/>
      <c r="G387" s="1290"/>
      <c r="H387" s="1290"/>
      <c r="I387" s="1290"/>
      <c r="J387" s="1290"/>
      <c r="K387" s="1290"/>
      <c r="L387" s="1290"/>
      <c r="M387" s="1290"/>
      <c r="N387" s="1290"/>
      <c r="O387" s="1290"/>
      <c r="P387" s="1290"/>
    </row>
    <row r="388" spans="1:16" s="1335" customFormat="1">
      <c r="A388" s="1334"/>
      <c r="B388" s="1290"/>
      <c r="C388" s="1290"/>
      <c r="G388" s="1290"/>
      <c r="H388" s="1290"/>
      <c r="I388" s="1290"/>
      <c r="J388" s="1290"/>
      <c r="K388" s="1290"/>
      <c r="L388" s="1290"/>
      <c r="M388" s="1290"/>
      <c r="N388" s="1290"/>
      <c r="O388" s="1290"/>
      <c r="P388" s="1290"/>
    </row>
    <row r="389" spans="1:16" s="1335" customFormat="1">
      <c r="A389" s="1334"/>
      <c r="B389" s="1290"/>
      <c r="C389" s="1290"/>
      <c r="G389" s="1290"/>
      <c r="H389" s="1290"/>
      <c r="I389" s="1290"/>
      <c r="J389" s="1290"/>
      <c r="K389" s="1290"/>
      <c r="L389" s="1290"/>
      <c r="M389" s="1290"/>
      <c r="N389" s="1290"/>
      <c r="O389" s="1290"/>
      <c r="P389" s="1290"/>
    </row>
    <row r="390" spans="1:16" s="1335" customFormat="1">
      <c r="A390" s="1334"/>
      <c r="B390" s="1290"/>
      <c r="C390" s="1290"/>
      <c r="G390" s="1290"/>
      <c r="H390" s="1290"/>
      <c r="I390" s="1290"/>
      <c r="J390" s="1290"/>
      <c r="K390" s="1290"/>
      <c r="L390" s="1290"/>
      <c r="M390" s="1290"/>
      <c r="N390" s="1290"/>
      <c r="O390" s="1290"/>
      <c r="P390" s="1290"/>
    </row>
    <row r="391" spans="1:16" s="1335" customFormat="1">
      <c r="A391" s="1334"/>
      <c r="B391" s="1290"/>
      <c r="C391" s="1290"/>
      <c r="G391" s="1290"/>
      <c r="H391" s="1290"/>
      <c r="I391" s="1290"/>
      <c r="J391" s="1290"/>
      <c r="K391" s="1290"/>
      <c r="L391" s="1290"/>
      <c r="M391" s="1290"/>
      <c r="N391" s="1290"/>
      <c r="O391" s="1290"/>
      <c r="P391" s="1290"/>
    </row>
    <row r="392" spans="1:16" s="1335" customFormat="1">
      <c r="A392" s="1334"/>
      <c r="B392" s="1290"/>
      <c r="C392" s="1290"/>
      <c r="G392" s="1290"/>
      <c r="H392" s="1290"/>
      <c r="I392" s="1290"/>
      <c r="J392" s="1290"/>
      <c r="K392" s="1290"/>
      <c r="L392" s="1290"/>
      <c r="M392" s="1290"/>
      <c r="N392" s="1290"/>
      <c r="O392" s="1290"/>
      <c r="P392" s="1290"/>
    </row>
    <row r="393" spans="1:16" s="1335" customFormat="1">
      <c r="A393" s="1334"/>
      <c r="B393" s="1290"/>
      <c r="C393" s="1290"/>
      <c r="G393" s="1290"/>
      <c r="H393" s="1290"/>
      <c r="I393" s="1290"/>
      <c r="J393" s="1290"/>
      <c r="K393" s="1290"/>
      <c r="L393" s="1290"/>
      <c r="M393" s="1290"/>
      <c r="N393" s="1290"/>
      <c r="O393" s="1290"/>
      <c r="P393" s="1290"/>
    </row>
    <row r="394" spans="1:16" s="1335" customFormat="1">
      <c r="A394" s="1334"/>
      <c r="B394" s="1290"/>
      <c r="C394" s="1290"/>
      <c r="G394" s="1290"/>
      <c r="H394" s="1290"/>
      <c r="I394" s="1290"/>
      <c r="J394" s="1290"/>
      <c r="K394" s="1290"/>
      <c r="L394" s="1290"/>
      <c r="M394" s="1290"/>
      <c r="N394" s="1290"/>
      <c r="O394" s="1290"/>
      <c r="P394" s="1290"/>
    </row>
    <row r="395" spans="1:16" s="1335" customFormat="1">
      <c r="A395" s="1334"/>
      <c r="B395" s="1290"/>
      <c r="C395" s="1290"/>
      <c r="G395" s="1290"/>
      <c r="H395" s="1290"/>
      <c r="I395" s="1290"/>
      <c r="J395" s="1290"/>
      <c r="K395" s="1290"/>
      <c r="L395" s="1290"/>
      <c r="M395" s="1290"/>
      <c r="N395" s="1290"/>
      <c r="O395" s="1290"/>
      <c r="P395" s="1290"/>
    </row>
    <row r="396" spans="1:16" s="1335" customFormat="1">
      <c r="A396" s="1334"/>
      <c r="B396" s="1290"/>
      <c r="C396" s="1290"/>
      <c r="G396" s="1290"/>
      <c r="H396" s="1290"/>
      <c r="I396" s="1290"/>
      <c r="J396" s="1290"/>
      <c r="K396" s="1290"/>
      <c r="L396" s="1290"/>
      <c r="M396" s="1290"/>
      <c r="N396" s="1290"/>
      <c r="O396" s="1290"/>
      <c r="P396" s="1290"/>
    </row>
    <row r="397" spans="1:16" s="1335" customFormat="1">
      <c r="A397" s="1334"/>
      <c r="B397" s="1290"/>
      <c r="C397" s="1290"/>
      <c r="G397" s="1290"/>
      <c r="H397" s="1290"/>
      <c r="I397" s="1290"/>
      <c r="J397" s="1290"/>
      <c r="K397" s="1290"/>
      <c r="L397" s="1290"/>
      <c r="M397" s="1290"/>
      <c r="N397" s="1290"/>
      <c r="O397" s="1290"/>
      <c r="P397" s="1290"/>
    </row>
    <row r="398" spans="1:16" s="1335" customFormat="1">
      <c r="A398" s="1334"/>
      <c r="B398" s="1290"/>
      <c r="C398" s="1290"/>
      <c r="G398" s="1290"/>
      <c r="H398" s="1290"/>
      <c r="I398" s="1290"/>
      <c r="J398" s="1290"/>
      <c r="K398" s="1290"/>
      <c r="L398" s="1290"/>
      <c r="M398" s="1290"/>
      <c r="N398" s="1290"/>
      <c r="O398" s="1290"/>
      <c r="P398" s="1290"/>
    </row>
    <row r="399" spans="1:16" s="1335" customFormat="1">
      <c r="A399" s="1334"/>
      <c r="B399" s="1290"/>
      <c r="C399" s="1290"/>
      <c r="G399" s="1290"/>
      <c r="H399" s="1290"/>
      <c r="I399" s="1290"/>
      <c r="J399" s="1290"/>
      <c r="K399" s="1290"/>
      <c r="L399" s="1290"/>
      <c r="M399" s="1290"/>
      <c r="N399" s="1290"/>
      <c r="O399" s="1290"/>
      <c r="P399" s="1290"/>
    </row>
    <row r="400" spans="1:16" s="1335" customFormat="1">
      <c r="A400" s="1334"/>
      <c r="B400" s="1290"/>
      <c r="C400" s="1290"/>
      <c r="G400" s="1290"/>
      <c r="H400" s="1290"/>
      <c r="I400" s="1290"/>
      <c r="J400" s="1290"/>
      <c r="K400" s="1290"/>
      <c r="L400" s="1290"/>
      <c r="M400" s="1290"/>
      <c r="N400" s="1290"/>
      <c r="O400" s="1290"/>
      <c r="P400" s="1290"/>
    </row>
    <row r="401" spans="1:16" s="1335" customFormat="1">
      <c r="A401" s="1334"/>
      <c r="B401" s="1290"/>
      <c r="C401" s="1290"/>
      <c r="G401" s="1290"/>
      <c r="H401" s="1290"/>
      <c r="I401" s="1290"/>
      <c r="J401" s="1290"/>
      <c r="K401" s="1290"/>
      <c r="L401" s="1290"/>
      <c r="M401" s="1290"/>
      <c r="N401" s="1290"/>
      <c r="O401" s="1290"/>
      <c r="P401" s="1290"/>
    </row>
    <row r="402" spans="1:16" s="1335" customFormat="1">
      <c r="A402" s="1334"/>
      <c r="B402" s="1290"/>
      <c r="C402" s="1290"/>
      <c r="G402" s="1290"/>
      <c r="H402" s="1290"/>
      <c r="I402" s="1290"/>
      <c r="J402" s="1290"/>
      <c r="K402" s="1290"/>
      <c r="L402" s="1290"/>
      <c r="M402" s="1290"/>
      <c r="N402" s="1290"/>
      <c r="O402" s="1290"/>
      <c r="P402" s="1290"/>
    </row>
    <row r="403" spans="1:16" s="1335" customFormat="1">
      <c r="A403" s="1334"/>
      <c r="B403" s="1290"/>
      <c r="C403" s="1290"/>
      <c r="G403" s="1290"/>
      <c r="H403" s="1290"/>
      <c r="I403" s="1290"/>
      <c r="J403" s="1290"/>
      <c r="K403" s="1290"/>
      <c r="L403" s="1290"/>
      <c r="M403" s="1290"/>
      <c r="N403" s="1290"/>
      <c r="O403" s="1290"/>
      <c r="P403" s="1290"/>
    </row>
    <row r="404" spans="1:16" s="1335" customFormat="1">
      <c r="A404" s="1334"/>
      <c r="B404" s="1290"/>
      <c r="C404" s="1290"/>
      <c r="G404" s="1290"/>
      <c r="H404" s="1290"/>
      <c r="I404" s="1290"/>
      <c r="J404" s="1290"/>
      <c r="K404" s="1290"/>
      <c r="L404" s="1290"/>
      <c r="M404" s="1290"/>
      <c r="N404" s="1290"/>
      <c r="O404" s="1290"/>
      <c r="P404" s="1290"/>
    </row>
    <row r="405" spans="1:16" s="1335" customFormat="1">
      <c r="A405" s="1334"/>
      <c r="B405" s="1290"/>
      <c r="C405" s="1290"/>
      <c r="G405" s="1290"/>
      <c r="H405" s="1290"/>
      <c r="I405" s="1290"/>
      <c r="J405" s="1290"/>
      <c r="K405" s="1290"/>
      <c r="L405" s="1290"/>
      <c r="M405" s="1290"/>
      <c r="N405" s="1290"/>
      <c r="O405" s="1290"/>
      <c r="P405" s="1290"/>
    </row>
    <row r="406" spans="1:16" s="1335" customFormat="1">
      <c r="A406" s="1334"/>
      <c r="B406" s="1290"/>
      <c r="C406" s="1290"/>
      <c r="G406" s="1290"/>
      <c r="H406" s="1290"/>
      <c r="I406" s="1290"/>
      <c r="J406" s="1290"/>
      <c r="K406" s="1290"/>
      <c r="L406" s="1290"/>
      <c r="M406" s="1290"/>
      <c r="N406" s="1290"/>
      <c r="O406" s="1290"/>
      <c r="P406" s="1290"/>
    </row>
    <row r="407" spans="1:16" s="1335" customFormat="1">
      <c r="A407" s="1334"/>
      <c r="B407" s="1290"/>
      <c r="C407" s="1290"/>
      <c r="G407" s="1290"/>
      <c r="H407" s="1290"/>
      <c r="I407" s="1290"/>
      <c r="J407" s="1290"/>
      <c r="K407" s="1290"/>
      <c r="L407" s="1290"/>
      <c r="M407" s="1290"/>
      <c r="N407" s="1290"/>
      <c r="O407" s="1290"/>
      <c r="P407" s="1290"/>
    </row>
    <row r="408" spans="1:16" s="1335" customFormat="1">
      <c r="A408" s="1334"/>
      <c r="B408" s="1290"/>
      <c r="C408" s="1290"/>
      <c r="G408" s="1290"/>
      <c r="H408" s="1290"/>
      <c r="I408" s="1290"/>
      <c r="J408" s="1290"/>
      <c r="K408" s="1290"/>
      <c r="L408" s="1290"/>
      <c r="M408" s="1290"/>
      <c r="N408" s="1290"/>
      <c r="O408" s="1290"/>
      <c r="P408" s="1290"/>
    </row>
    <row r="409" spans="1:16" s="1335" customFormat="1">
      <c r="A409" s="1334"/>
      <c r="B409" s="1290"/>
      <c r="C409" s="1290"/>
      <c r="G409" s="1290"/>
      <c r="H409" s="1290"/>
      <c r="I409" s="1290"/>
      <c r="J409" s="1290"/>
      <c r="K409" s="1290"/>
      <c r="L409" s="1290"/>
      <c r="M409" s="1290"/>
      <c r="N409" s="1290"/>
      <c r="O409" s="1290"/>
      <c r="P409" s="1290"/>
    </row>
    <row r="410" spans="1:16" s="1335" customFormat="1">
      <c r="A410" s="1334"/>
      <c r="B410" s="1290"/>
      <c r="C410" s="1290"/>
      <c r="G410" s="1290"/>
      <c r="H410" s="1290"/>
      <c r="I410" s="1290"/>
      <c r="J410" s="1290"/>
      <c r="K410" s="1290"/>
      <c r="L410" s="1290"/>
      <c r="M410" s="1290"/>
      <c r="N410" s="1290"/>
      <c r="O410" s="1290"/>
      <c r="P410" s="1290"/>
    </row>
    <row r="411" spans="1:16" s="1335" customFormat="1">
      <c r="A411" s="1334"/>
      <c r="B411" s="1290"/>
      <c r="C411" s="1290"/>
      <c r="G411" s="1290"/>
      <c r="H411" s="1290"/>
      <c r="I411" s="1290"/>
      <c r="J411" s="1290"/>
      <c r="K411" s="1290"/>
      <c r="L411" s="1290"/>
      <c r="M411" s="1290"/>
      <c r="N411" s="1290"/>
      <c r="O411" s="1290"/>
      <c r="P411" s="1290"/>
    </row>
    <row r="412" spans="1:16" s="1335" customFormat="1">
      <c r="A412" s="1334"/>
      <c r="B412" s="1290"/>
      <c r="C412" s="1290"/>
      <c r="G412" s="1290"/>
      <c r="H412" s="1290"/>
      <c r="I412" s="1290"/>
      <c r="J412" s="1290"/>
      <c r="K412" s="1290"/>
      <c r="L412" s="1290"/>
      <c r="M412" s="1290"/>
      <c r="N412" s="1290"/>
      <c r="O412" s="1290"/>
      <c r="P412" s="1290"/>
    </row>
    <row r="413" spans="1:16" s="1335" customFormat="1">
      <c r="A413" s="1334"/>
      <c r="B413" s="1290"/>
      <c r="C413" s="1290"/>
      <c r="G413" s="1290"/>
      <c r="H413" s="1290"/>
      <c r="I413" s="1290"/>
      <c r="J413" s="1290"/>
      <c r="K413" s="1290"/>
      <c r="L413" s="1290"/>
      <c r="M413" s="1290"/>
      <c r="N413" s="1290"/>
      <c r="O413" s="1290"/>
      <c r="P413" s="1290"/>
    </row>
    <row r="414" spans="1:16" s="1335" customFormat="1">
      <c r="A414" s="1334"/>
      <c r="B414" s="1290"/>
      <c r="C414" s="1290"/>
      <c r="G414" s="1290"/>
      <c r="H414" s="1290"/>
      <c r="I414" s="1290"/>
      <c r="J414" s="1290"/>
      <c r="K414" s="1290"/>
      <c r="L414" s="1290"/>
      <c r="M414" s="1290"/>
      <c r="N414" s="1290"/>
      <c r="O414" s="1290"/>
      <c r="P414" s="1290"/>
    </row>
    <row r="415" spans="1:16" s="1335" customFormat="1">
      <c r="A415" s="1334"/>
      <c r="B415" s="1290"/>
      <c r="C415" s="1290"/>
      <c r="G415" s="1290"/>
      <c r="H415" s="1290"/>
      <c r="I415" s="1290"/>
      <c r="J415" s="1290"/>
      <c r="K415" s="1290"/>
      <c r="L415" s="1290"/>
      <c r="M415" s="1290"/>
      <c r="N415" s="1290"/>
      <c r="O415" s="1290"/>
      <c r="P415" s="1290"/>
    </row>
    <row r="416" spans="1:16" s="1335" customFormat="1">
      <c r="A416" s="1334"/>
      <c r="B416" s="1290"/>
      <c r="C416" s="1290"/>
      <c r="G416" s="1290"/>
      <c r="H416" s="1290"/>
      <c r="I416" s="1290"/>
      <c r="J416" s="1290"/>
      <c r="K416" s="1290"/>
      <c r="L416" s="1290"/>
      <c r="M416" s="1290"/>
      <c r="N416" s="1290"/>
      <c r="O416" s="1290"/>
      <c r="P416" s="1290"/>
    </row>
    <row r="417" spans="1:16" s="1335" customFormat="1">
      <c r="A417" s="1334"/>
      <c r="B417" s="1290"/>
      <c r="C417" s="1290"/>
      <c r="G417" s="1290"/>
      <c r="H417" s="1290"/>
      <c r="I417" s="1290"/>
      <c r="J417" s="1290"/>
      <c r="K417" s="1290"/>
      <c r="L417" s="1290"/>
      <c r="M417" s="1290"/>
      <c r="N417" s="1290"/>
      <c r="O417" s="1290"/>
      <c r="P417" s="1290"/>
    </row>
    <row r="418" spans="1:16" s="1335" customFormat="1">
      <c r="A418" s="1334"/>
      <c r="B418" s="1290"/>
      <c r="C418" s="1290"/>
      <c r="G418" s="1290"/>
      <c r="H418" s="1290"/>
      <c r="I418" s="1290"/>
      <c r="J418" s="1290"/>
      <c r="K418" s="1290"/>
      <c r="L418" s="1290"/>
      <c r="M418" s="1290"/>
      <c r="N418" s="1290"/>
      <c r="O418" s="1290"/>
      <c r="P418" s="1290"/>
    </row>
    <row r="419" spans="1:16" s="1335" customFormat="1">
      <c r="A419" s="1334"/>
      <c r="B419" s="1290"/>
      <c r="C419" s="1290"/>
      <c r="G419" s="1290"/>
      <c r="H419" s="1290"/>
      <c r="I419" s="1290"/>
      <c r="J419" s="1290"/>
      <c r="K419" s="1290"/>
      <c r="L419" s="1290"/>
      <c r="M419" s="1290"/>
      <c r="N419" s="1290"/>
      <c r="O419" s="1290"/>
      <c r="P419" s="1290"/>
    </row>
    <row r="420" spans="1:16" s="1335" customFormat="1">
      <c r="A420" s="1334"/>
      <c r="B420" s="1290"/>
      <c r="C420" s="1290"/>
      <c r="G420" s="1290"/>
      <c r="H420" s="1290"/>
      <c r="I420" s="1290"/>
      <c r="J420" s="1290"/>
      <c r="K420" s="1290"/>
      <c r="L420" s="1290"/>
      <c r="M420" s="1290"/>
      <c r="N420" s="1290"/>
      <c r="O420" s="1290"/>
      <c r="P420" s="1290"/>
    </row>
    <row r="421" spans="1:16" s="1335" customFormat="1">
      <c r="A421" s="1334"/>
      <c r="B421" s="1290"/>
      <c r="C421" s="1290"/>
      <c r="G421" s="1290"/>
      <c r="H421" s="1290"/>
      <c r="I421" s="1290"/>
      <c r="J421" s="1290"/>
      <c r="K421" s="1290"/>
      <c r="L421" s="1290"/>
      <c r="M421" s="1290"/>
      <c r="N421" s="1290"/>
      <c r="O421" s="1290"/>
      <c r="P421" s="1290"/>
    </row>
    <row r="422" spans="1:16" s="1335" customFormat="1">
      <c r="A422" s="1334"/>
      <c r="B422" s="1290"/>
      <c r="C422" s="1290"/>
      <c r="G422" s="1290"/>
      <c r="H422" s="1290"/>
      <c r="I422" s="1290"/>
      <c r="J422" s="1290"/>
      <c r="K422" s="1290"/>
      <c r="L422" s="1290"/>
      <c r="M422" s="1290"/>
      <c r="N422" s="1290"/>
      <c r="O422" s="1290"/>
      <c r="P422" s="1290"/>
    </row>
    <row r="423" spans="1:16" s="1335" customFormat="1">
      <c r="A423" s="1334"/>
      <c r="B423" s="1290"/>
      <c r="C423" s="1290"/>
      <c r="G423" s="1290"/>
      <c r="H423" s="1290"/>
      <c r="I423" s="1290"/>
      <c r="J423" s="1290"/>
      <c r="K423" s="1290"/>
      <c r="L423" s="1290"/>
      <c r="M423" s="1290"/>
      <c r="N423" s="1290"/>
      <c r="O423" s="1290"/>
      <c r="P423" s="1290"/>
    </row>
    <row r="424" spans="1:16" s="1335" customFormat="1">
      <c r="A424" s="1334"/>
      <c r="B424" s="1290"/>
      <c r="C424" s="1290"/>
      <c r="G424" s="1290"/>
      <c r="H424" s="1290"/>
      <c r="I424" s="1290"/>
      <c r="J424" s="1290"/>
      <c r="K424" s="1290"/>
      <c r="L424" s="1290"/>
      <c r="M424" s="1290"/>
      <c r="N424" s="1290"/>
      <c r="O424" s="1290"/>
      <c r="P424" s="1290"/>
    </row>
    <row r="425" spans="1:16" s="1335" customFormat="1">
      <c r="A425" s="1334"/>
      <c r="B425" s="1290"/>
      <c r="C425" s="1290"/>
      <c r="G425" s="1290"/>
      <c r="H425" s="1290"/>
      <c r="I425" s="1290"/>
      <c r="J425" s="1290"/>
      <c r="K425" s="1290"/>
      <c r="L425" s="1290"/>
      <c r="M425" s="1290"/>
      <c r="N425" s="1290"/>
      <c r="O425" s="1290"/>
      <c r="P425" s="1290"/>
    </row>
    <row r="426" spans="1:16" s="1335" customFormat="1">
      <c r="A426" s="1334"/>
      <c r="B426" s="1290"/>
      <c r="C426" s="1290"/>
      <c r="G426" s="1290"/>
      <c r="H426" s="1290"/>
      <c r="I426" s="1290"/>
      <c r="J426" s="1290"/>
      <c r="K426" s="1290"/>
      <c r="L426" s="1290"/>
      <c r="M426" s="1290"/>
      <c r="N426" s="1290"/>
      <c r="O426" s="1290"/>
      <c r="P426" s="1290"/>
    </row>
    <row r="427" spans="1:16" s="1335" customFormat="1">
      <c r="A427" s="1334"/>
      <c r="B427" s="1290"/>
      <c r="C427" s="1290"/>
      <c r="G427" s="1290"/>
      <c r="H427" s="1290"/>
      <c r="I427" s="1290"/>
      <c r="J427" s="1290"/>
      <c r="K427" s="1290"/>
      <c r="L427" s="1290"/>
      <c r="M427" s="1290"/>
      <c r="N427" s="1290"/>
      <c r="O427" s="1290"/>
      <c r="P427" s="1290"/>
    </row>
    <row r="428" spans="1:16" s="1335" customFormat="1">
      <c r="A428" s="1334"/>
      <c r="B428" s="1290"/>
      <c r="C428" s="1290"/>
      <c r="G428" s="1290"/>
      <c r="H428" s="1290"/>
      <c r="I428" s="1290"/>
      <c r="J428" s="1290"/>
      <c r="K428" s="1290"/>
      <c r="L428" s="1290"/>
      <c r="M428" s="1290"/>
      <c r="N428" s="1290"/>
      <c r="O428" s="1290"/>
      <c r="P428" s="1290"/>
    </row>
    <row r="429" spans="1:16" s="1335" customFormat="1">
      <c r="A429" s="1334"/>
      <c r="B429" s="1290"/>
      <c r="C429" s="1290"/>
      <c r="G429" s="1290"/>
      <c r="H429" s="1290"/>
      <c r="I429" s="1290"/>
      <c r="J429" s="1290"/>
      <c r="K429" s="1290"/>
      <c r="L429" s="1290"/>
      <c r="M429" s="1290"/>
      <c r="N429" s="1290"/>
      <c r="O429" s="1290"/>
      <c r="P429" s="1290"/>
    </row>
    <row r="430" spans="1:16" s="1335" customFormat="1">
      <c r="A430" s="1334"/>
      <c r="B430" s="1290"/>
      <c r="C430" s="1290"/>
      <c r="G430" s="1290"/>
      <c r="H430" s="1290"/>
      <c r="I430" s="1290"/>
      <c r="J430" s="1290"/>
      <c r="K430" s="1290"/>
      <c r="L430" s="1290"/>
      <c r="M430" s="1290"/>
      <c r="N430" s="1290"/>
      <c r="O430" s="1290"/>
      <c r="P430" s="1290"/>
    </row>
    <row r="431" spans="1:16" s="1335" customFormat="1">
      <c r="A431" s="1334"/>
      <c r="B431" s="1290"/>
      <c r="C431" s="1290"/>
      <c r="G431" s="1290"/>
      <c r="H431" s="1290"/>
      <c r="I431" s="1290"/>
      <c r="J431" s="1290"/>
      <c r="K431" s="1290"/>
      <c r="L431" s="1290"/>
      <c r="M431" s="1290"/>
      <c r="N431" s="1290"/>
      <c r="O431" s="1290"/>
      <c r="P431" s="1290"/>
    </row>
    <row r="432" spans="1:16" s="1335" customFormat="1">
      <c r="A432" s="1334"/>
      <c r="B432" s="1290"/>
      <c r="C432" s="1290"/>
      <c r="G432" s="1290"/>
      <c r="H432" s="1290"/>
      <c r="I432" s="1290"/>
      <c r="J432" s="1290"/>
      <c r="K432" s="1290"/>
      <c r="L432" s="1290"/>
      <c r="M432" s="1290"/>
      <c r="N432" s="1290"/>
      <c r="O432" s="1290"/>
      <c r="P432" s="1290"/>
    </row>
    <row r="433" spans="1:16" s="1335" customFormat="1">
      <c r="A433" s="1334"/>
      <c r="B433" s="1290"/>
      <c r="C433" s="1290"/>
      <c r="G433" s="1290"/>
      <c r="H433" s="1290"/>
      <c r="I433" s="1290"/>
      <c r="J433" s="1290"/>
      <c r="K433" s="1290"/>
      <c r="L433" s="1290"/>
      <c r="M433" s="1290"/>
      <c r="N433" s="1290"/>
      <c r="O433" s="1290"/>
      <c r="P433" s="1290"/>
    </row>
    <row r="434" spans="1:16" s="1335" customFormat="1">
      <c r="A434" s="1334"/>
      <c r="B434" s="1290"/>
      <c r="C434" s="1290"/>
      <c r="G434" s="1290"/>
      <c r="H434" s="1290"/>
      <c r="I434" s="1290"/>
      <c r="J434" s="1290"/>
      <c r="K434" s="1290"/>
      <c r="L434" s="1290"/>
      <c r="M434" s="1290"/>
      <c r="N434" s="1290"/>
      <c r="O434" s="1290"/>
      <c r="P434" s="1290"/>
    </row>
    <row r="435" spans="1:16" s="1335" customFormat="1">
      <c r="A435" s="1334"/>
      <c r="B435" s="1290"/>
      <c r="C435" s="1290"/>
      <c r="G435" s="1290"/>
      <c r="H435" s="1290"/>
      <c r="I435" s="1290"/>
      <c r="J435" s="1290"/>
      <c r="K435" s="1290"/>
      <c r="L435" s="1290"/>
      <c r="M435" s="1290"/>
      <c r="N435" s="1290"/>
      <c r="O435" s="1290"/>
      <c r="P435" s="1290"/>
    </row>
    <row r="436" spans="1:16" s="1335" customFormat="1">
      <c r="A436" s="1334"/>
      <c r="B436" s="1290"/>
      <c r="C436" s="1290"/>
      <c r="G436" s="1290"/>
      <c r="H436" s="1290"/>
      <c r="I436" s="1290"/>
      <c r="J436" s="1290"/>
      <c r="K436" s="1290"/>
      <c r="L436" s="1290"/>
      <c r="M436" s="1290"/>
      <c r="N436" s="1290"/>
      <c r="O436" s="1290"/>
      <c r="P436" s="1290"/>
    </row>
    <row r="437" spans="1:16" s="1335" customFormat="1">
      <c r="A437" s="1334"/>
      <c r="B437" s="1290"/>
      <c r="C437" s="1290"/>
      <c r="G437" s="1290"/>
      <c r="H437" s="1290"/>
      <c r="I437" s="1290"/>
      <c r="J437" s="1290"/>
      <c r="K437" s="1290"/>
      <c r="L437" s="1290"/>
      <c r="M437" s="1290"/>
      <c r="N437" s="1290"/>
      <c r="O437" s="1290"/>
      <c r="P437" s="1290"/>
    </row>
    <row r="438" spans="1:16" s="1335" customFormat="1">
      <c r="A438" s="1334"/>
      <c r="B438" s="1290"/>
      <c r="C438" s="1290"/>
      <c r="G438" s="1290"/>
      <c r="H438" s="1290"/>
      <c r="I438" s="1290"/>
      <c r="J438" s="1290"/>
      <c r="K438" s="1290"/>
      <c r="L438" s="1290"/>
      <c r="M438" s="1290"/>
      <c r="N438" s="1290"/>
      <c r="O438" s="1290"/>
      <c r="P438" s="1290"/>
    </row>
    <row r="439" spans="1:16" s="1335" customFormat="1">
      <c r="A439" s="1334"/>
      <c r="B439" s="1290"/>
      <c r="C439" s="1290"/>
      <c r="G439" s="1290"/>
      <c r="H439" s="1290"/>
      <c r="I439" s="1290"/>
      <c r="J439" s="1290"/>
      <c r="K439" s="1290"/>
      <c r="L439" s="1290"/>
      <c r="M439" s="1290"/>
      <c r="N439" s="1290"/>
      <c r="O439" s="1290"/>
      <c r="P439" s="1290"/>
    </row>
    <row r="440" spans="1:16" s="1335" customFormat="1">
      <c r="A440" s="1334"/>
      <c r="B440" s="1290"/>
      <c r="C440" s="1290"/>
      <c r="G440" s="1290"/>
      <c r="H440" s="1290"/>
      <c r="I440" s="1290"/>
      <c r="J440" s="1290"/>
      <c r="K440" s="1290"/>
      <c r="L440" s="1290"/>
      <c r="M440" s="1290"/>
      <c r="N440" s="1290"/>
      <c r="O440" s="1290"/>
      <c r="P440" s="1290"/>
    </row>
    <row r="441" spans="1:16" s="1335" customFormat="1">
      <c r="A441" s="1334"/>
      <c r="B441" s="1290"/>
      <c r="C441" s="1290"/>
      <c r="G441" s="1290"/>
      <c r="H441" s="1290"/>
      <c r="I441" s="1290"/>
      <c r="J441" s="1290"/>
      <c r="K441" s="1290"/>
      <c r="L441" s="1290"/>
      <c r="M441" s="1290"/>
      <c r="N441" s="1290"/>
      <c r="O441" s="1290"/>
      <c r="P441" s="1290"/>
    </row>
    <row r="442" spans="1:16" s="1335" customFormat="1">
      <c r="A442" s="1334"/>
      <c r="B442" s="1290"/>
      <c r="C442" s="1290"/>
      <c r="G442" s="1290"/>
      <c r="H442" s="1290"/>
      <c r="I442" s="1290"/>
      <c r="J442" s="1290"/>
      <c r="K442" s="1290"/>
      <c r="L442" s="1290"/>
      <c r="M442" s="1290"/>
      <c r="N442" s="1290"/>
      <c r="O442" s="1290"/>
      <c r="P442" s="1290"/>
    </row>
    <row r="443" spans="1:16" s="1335" customFormat="1">
      <c r="A443" s="1334"/>
      <c r="B443" s="1290"/>
      <c r="C443" s="1290"/>
      <c r="G443" s="1290"/>
      <c r="H443" s="1290"/>
      <c r="I443" s="1290"/>
      <c r="J443" s="1290"/>
      <c r="K443" s="1290"/>
      <c r="L443" s="1290"/>
      <c r="M443" s="1290"/>
      <c r="N443" s="1290"/>
      <c r="O443" s="1290"/>
      <c r="P443" s="1290"/>
    </row>
    <row r="444" spans="1:16" s="1335" customFormat="1">
      <c r="A444" s="1334"/>
      <c r="B444" s="1290"/>
      <c r="C444" s="1290"/>
      <c r="G444" s="1290"/>
      <c r="H444" s="1290"/>
      <c r="I444" s="1290"/>
      <c r="J444" s="1290"/>
      <c r="K444" s="1290"/>
      <c r="L444" s="1290"/>
      <c r="M444" s="1290"/>
      <c r="N444" s="1290"/>
      <c r="O444" s="1290"/>
      <c r="P444" s="1290"/>
    </row>
    <row r="445" spans="1:16" s="1335" customFormat="1">
      <c r="A445" s="1334"/>
      <c r="B445" s="1290"/>
      <c r="C445" s="1290"/>
      <c r="G445" s="1290"/>
      <c r="H445" s="1290"/>
      <c r="I445" s="1290"/>
      <c r="J445" s="1290"/>
      <c r="K445" s="1290"/>
      <c r="L445" s="1290"/>
      <c r="M445" s="1290"/>
      <c r="N445" s="1290"/>
      <c r="O445" s="1290"/>
      <c r="P445" s="1290"/>
    </row>
    <row r="446" spans="1:16" s="1335" customFormat="1">
      <c r="A446" s="1334"/>
      <c r="B446" s="1290"/>
      <c r="C446" s="1290"/>
      <c r="G446" s="1290"/>
      <c r="H446" s="1290"/>
      <c r="I446" s="1290"/>
      <c r="J446" s="1290"/>
      <c r="K446" s="1290"/>
      <c r="L446" s="1290"/>
      <c r="M446" s="1290"/>
      <c r="N446" s="1290"/>
      <c r="O446" s="1290"/>
      <c r="P446" s="1290"/>
    </row>
    <row r="447" spans="1:16" s="1335" customFormat="1">
      <c r="A447" s="1334"/>
      <c r="B447" s="1290"/>
      <c r="C447" s="1290"/>
      <c r="G447" s="1290"/>
      <c r="H447" s="1290"/>
      <c r="I447" s="1290"/>
      <c r="J447" s="1290"/>
      <c r="K447" s="1290"/>
      <c r="L447" s="1290"/>
      <c r="M447" s="1290"/>
      <c r="N447" s="1290"/>
      <c r="O447" s="1290"/>
      <c r="P447" s="1290"/>
    </row>
    <row r="448" spans="1:16" s="1335" customFormat="1">
      <c r="A448" s="1334"/>
      <c r="B448" s="1290"/>
      <c r="C448" s="1290"/>
      <c r="G448" s="1290"/>
      <c r="H448" s="1290"/>
      <c r="I448" s="1290"/>
      <c r="J448" s="1290"/>
      <c r="K448" s="1290"/>
      <c r="L448" s="1290"/>
      <c r="M448" s="1290"/>
      <c r="N448" s="1290"/>
      <c r="O448" s="1290"/>
      <c r="P448" s="1290"/>
    </row>
    <row r="449" spans="1:16" s="1335" customFormat="1">
      <c r="A449" s="1334"/>
      <c r="B449" s="1290"/>
      <c r="C449" s="1290"/>
      <c r="G449" s="1290"/>
      <c r="H449" s="1290"/>
      <c r="I449" s="1290"/>
      <c r="J449" s="1290"/>
      <c r="K449" s="1290"/>
      <c r="L449" s="1290"/>
      <c r="M449" s="1290"/>
      <c r="N449" s="1290"/>
      <c r="O449" s="1290"/>
      <c r="P449" s="1290"/>
    </row>
    <row r="450" spans="1:16" s="1335" customFormat="1">
      <c r="A450" s="1334"/>
      <c r="B450" s="1290"/>
      <c r="C450" s="1290"/>
      <c r="G450" s="1290"/>
      <c r="H450" s="1290"/>
      <c r="I450" s="1290"/>
      <c r="J450" s="1290"/>
      <c r="K450" s="1290"/>
      <c r="L450" s="1290"/>
      <c r="M450" s="1290"/>
      <c r="N450" s="1290"/>
      <c r="O450" s="1290"/>
      <c r="P450" s="1290"/>
    </row>
    <row r="451" spans="1:16" s="1335" customFormat="1">
      <c r="A451" s="1334"/>
      <c r="B451" s="1290"/>
      <c r="C451" s="1290"/>
      <c r="G451" s="1290"/>
      <c r="H451" s="1290"/>
      <c r="I451" s="1290"/>
      <c r="J451" s="1290"/>
      <c r="K451" s="1290"/>
      <c r="L451" s="1290"/>
      <c r="M451" s="1290"/>
      <c r="N451" s="1290"/>
      <c r="O451" s="1290"/>
      <c r="P451" s="1290"/>
    </row>
    <row r="452" spans="1:16" s="1335" customFormat="1">
      <c r="A452" s="1334"/>
      <c r="B452" s="1290"/>
      <c r="C452" s="1290"/>
      <c r="G452" s="1290"/>
      <c r="H452" s="1290"/>
      <c r="I452" s="1290"/>
      <c r="J452" s="1290"/>
      <c r="K452" s="1290"/>
      <c r="L452" s="1290"/>
      <c r="M452" s="1290"/>
      <c r="N452" s="1290"/>
      <c r="O452" s="1290"/>
      <c r="P452" s="1290"/>
    </row>
    <row r="453" spans="1:16" s="1335" customFormat="1">
      <c r="A453" s="1334"/>
      <c r="B453" s="1290"/>
      <c r="C453" s="1290"/>
      <c r="G453" s="1290"/>
      <c r="H453" s="1290"/>
      <c r="I453" s="1290"/>
      <c r="J453" s="1290"/>
      <c r="K453" s="1290"/>
      <c r="L453" s="1290"/>
      <c r="M453" s="1290"/>
      <c r="N453" s="1290"/>
      <c r="O453" s="1290"/>
      <c r="P453" s="1290"/>
    </row>
    <row r="454" spans="1:16" s="1335" customFormat="1">
      <c r="A454" s="1334"/>
      <c r="B454" s="1290"/>
      <c r="C454" s="1290"/>
      <c r="G454" s="1290"/>
      <c r="H454" s="1290"/>
      <c r="I454" s="1290"/>
      <c r="J454" s="1290"/>
      <c r="K454" s="1290"/>
      <c r="L454" s="1290"/>
      <c r="M454" s="1290"/>
      <c r="N454" s="1290"/>
      <c r="O454" s="1290"/>
      <c r="P454" s="1290"/>
    </row>
    <row r="455" spans="1:16" s="1335" customFormat="1">
      <c r="A455" s="1334"/>
      <c r="B455" s="1290"/>
      <c r="C455" s="1290"/>
      <c r="G455" s="1290"/>
      <c r="H455" s="1290"/>
      <c r="I455" s="1290"/>
      <c r="J455" s="1290"/>
      <c r="K455" s="1290"/>
      <c r="L455" s="1290"/>
      <c r="M455" s="1290"/>
      <c r="N455" s="1290"/>
      <c r="O455" s="1290"/>
      <c r="P455" s="1290"/>
    </row>
    <row r="456" spans="1:16" s="1335" customFormat="1">
      <c r="A456" s="1334"/>
      <c r="B456" s="1290"/>
      <c r="C456" s="1290"/>
      <c r="G456" s="1290"/>
      <c r="H456" s="1290"/>
      <c r="I456" s="1290"/>
      <c r="J456" s="1290"/>
      <c r="K456" s="1290"/>
      <c r="L456" s="1290"/>
      <c r="M456" s="1290"/>
      <c r="N456" s="1290"/>
      <c r="O456" s="1290"/>
      <c r="P456" s="1290"/>
    </row>
    <row r="457" spans="1:16" s="1335" customFormat="1">
      <c r="A457" s="1334"/>
      <c r="B457" s="1290"/>
      <c r="C457" s="1290"/>
      <c r="G457" s="1290"/>
      <c r="H457" s="1290"/>
      <c r="I457" s="1290"/>
      <c r="J457" s="1290"/>
      <c r="K457" s="1290"/>
      <c r="L457" s="1290"/>
      <c r="M457" s="1290"/>
      <c r="N457" s="1290"/>
      <c r="O457" s="1290"/>
      <c r="P457" s="1290"/>
    </row>
    <row r="458" spans="1:16" s="1335" customFormat="1">
      <c r="A458" s="1334"/>
      <c r="B458" s="1290"/>
      <c r="C458" s="1290"/>
      <c r="G458" s="1290"/>
      <c r="H458" s="1290"/>
      <c r="I458" s="1290"/>
      <c r="J458" s="1290"/>
      <c r="K458" s="1290"/>
      <c r="L458" s="1290"/>
      <c r="M458" s="1290"/>
      <c r="N458" s="1290"/>
      <c r="O458" s="1290"/>
      <c r="P458" s="1290"/>
    </row>
    <row r="459" spans="1:16" s="1335" customFormat="1">
      <c r="A459" s="1334"/>
      <c r="B459" s="1290"/>
      <c r="C459" s="1290"/>
      <c r="G459" s="1290"/>
      <c r="H459" s="1290"/>
      <c r="I459" s="1290"/>
      <c r="J459" s="1290"/>
      <c r="K459" s="1290"/>
      <c r="L459" s="1290"/>
      <c r="M459" s="1290"/>
      <c r="N459" s="1290"/>
      <c r="O459" s="1290"/>
      <c r="P459" s="1290"/>
    </row>
    <row r="460" spans="1:16" s="1335" customFormat="1">
      <c r="A460" s="1334"/>
      <c r="B460" s="1290"/>
      <c r="C460" s="1290"/>
      <c r="G460" s="1290"/>
      <c r="H460" s="1290"/>
      <c r="I460" s="1290"/>
      <c r="J460" s="1290"/>
      <c r="K460" s="1290"/>
      <c r="L460" s="1290"/>
      <c r="M460" s="1290"/>
      <c r="N460" s="1290"/>
      <c r="O460" s="1290"/>
      <c r="P460" s="1290"/>
    </row>
    <row r="461" spans="1:16" s="1335" customFormat="1">
      <c r="A461" s="1334"/>
      <c r="B461" s="1290"/>
      <c r="C461" s="1290"/>
      <c r="G461" s="1290"/>
      <c r="H461" s="1290"/>
      <c r="I461" s="1290"/>
      <c r="J461" s="1290"/>
      <c r="K461" s="1290"/>
      <c r="L461" s="1290"/>
      <c r="M461" s="1290"/>
      <c r="N461" s="1290"/>
      <c r="O461" s="1290"/>
      <c r="P461" s="1290"/>
    </row>
    <row r="462" spans="1:16" s="1335" customFormat="1">
      <c r="A462" s="1334"/>
      <c r="B462" s="1290"/>
      <c r="C462" s="1290"/>
      <c r="G462" s="1290"/>
      <c r="H462" s="1290"/>
      <c r="I462" s="1290"/>
      <c r="J462" s="1290"/>
      <c r="K462" s="1290"/>
      <c r="L462" s="1290"/>
      <c r="M462" s="1290"/>
      <c r="N462" s="1290"/>
      <c r="O462" s="1290"/>
      <c r="P462" s="1290"/>
    </row>
    <row r="463" spans="1:16" s="1335" customFormat="1">
      <c r="A463" s="1334"/>
      <c r="B463" s="1290"/>
      <c r="C463" s="1290"/>
      <c r="G463" s="1290"/>
      <c r="H463" s="1290"/>
      <c r="I463" s="1290"/>
      <c r="J463" s="1290"/>
      <c r="K463" s="1290"/>
      <c r="L463" s="1290"/>
      <c r="M463" s="1290"/>
      <c r="N463" s="1290"/>
      <c r="O463" s="1290"/>
      <c r="P463" s="1290"/>
    </row>
    <row r="464" spans="1:16" s="1335" customFormat="1">
      <c r="A464" s="1334"/>
      <c r="B464" s="1290"/>
      <c r="C464" s="1290"/>
      <c r="G464" s="1290"/>
      <c r="H464" s="1290"/>
      <c r="I464" s="1290"/>
      <c r="J464" s="1290"/>
      <c r="K464" s="1290"/>
      <c r="L464" s="1290"/>
      <c r="M464" s="1290"/>
      <c r="N464" s="1290"/>
      <c r="O464" s="1290"/>
      <c r="P464" s="1290"/>
    </row>
    <row r="465" spans="1:16" s="1335" customFormat="1">
      <c r="A465" s="1334"/>
      <c r="B465" s="1290"/>
      <c r="C465" s="1290"/>
      <c r="G465" s="1290"/>
      <c r="H465" s="1290"/>
      <c r="I465" s="1290"/>
      <c r="J465" s="1290"/>
      <c r="K465" s="1290"/>
      <c r="L465" s="1290"/>
      <c r="M465" s="1290"/>
      <c r="N465" s="1290"/>
      <c r="O465" s="1290"/>
      <c r="P465" s="1290"/>
    </row>
    <row r="466" spans="1:16" s="1335" customFormat="1">
      <c r="A466" s="1334"/>
      <c r="B466" s="1290"/>
      <c r="C466" s="1290"/>
      <c r="G466" s="1290"/>
      <c r="H466" s="1290"/>
      <c r="I466" s="1290"/>
      <c r="J466" s="1290"/>
      <c r="K466" s="1290"/>
      <c r="L466" s="1290"/>
      <c r="M466" s="1290"/>
      <c r="N466" s="1290"/>
      <c r="O466" s="1290"/>
      <c r="P466" s="1290"/>
    </row>
    <row r="467" spans="1:16" s="1335" customFormat="1">
      <c r="A467" s="1334"/>
      <c r="B467" s="1290"/>
      <c r="C467" s="1290"/>
      <c r="G467" s="1290"/>
      <c r="H467" s="1290"/>
      <c r="I467" s="1290"/>
      <c r="J467" s="1290"/>
      <c r="K467" s="1290"/>
      <c r="L467" s="1290"/>
      <c r="M467" s="1290"/>
      <c r="N467" s="1290"/>
      <c r="O467" s="1290"/>
      <c r="P467" s="1290"/>
    </row>
    <row r="468" spans="1:16" s="1335" customFormat="1">
      <c r="A468" s="1334"/>
      <c r="B468" s="1290"/>
      <c r="C468" s="1290"/>
      <c r="G468" s="1290"/>
      <c r="H468" s="1290"/>
      <c r="I468" s="1290"/>
      <c r="J468" s="1290"/>
      <c r="K468" s="1290"/>
      <c r="L468" s="1290"/>
      <c r="M468" s="1290"/>
      <c r="N468" s="1290"/>
      <c r="O468" s="1290"/>
      <c r="P468" s="1290"/>
    </row>
    <row r="469" spans="1:16" s="1335" customFormat="1">
      <c r="A469" s="1334"/>
      <c r="B469" s="1290"/>
      <c r="C469" s="1290"/>
      <c r="G469" s="1290"/>
      <c r="H469" s="1290"/>
      <c r="I469" s="1290"/>
      <c r="J469" s="1290"/>
      <c r="K469" s="1290"/>
      <c r="L469" s="1290"/>
      <c r="M469" s="1290"/>
      <c r="N469" s="1290"/>
      <c r="O469" s="1290"/>
      <c r="P469" s="1290"/>
    </row>
    <row r="470" spans="1:16" s="1335" customFormat="1">
      <c r="A470" s="1334"/>
      <c r="B470" s="1290"/>
      <c r="C470" s="1290"/>
      <c r="G470" s="1290"/>
      <c r="H470" s="1290"/>
      <c r="I470" s="1290"/>
      <c r="J470" s="1290"/>
      <c r="K470" s="1290"/>
      <c r="L470" s="1290"/>
      <c r="M470" s="1290"/>
      <c r="N470" s="1290"/>
      <c r="O470" s="1290"/>
      <c r="P470" s="1290"/>
    </row>
    <row r="471" spans="1:16" s="1335" customFormat="1">
      <c r="A471" s="1334"/>
      <c r="B471" s="1290"/>
      <c r="C471" s="1290"/>
      <c r="G471" s="1290"/>
      <c r="H471" s="1290"/>
      <c r="I471" s="1290"/>
      <c r="J471" s="1290"/>
      <c r="K471" s="1290"/>
      <c r="L471" s="1290"/>
      <c r="M471" s="1290"/>
      <c r="N471" s="1290"/>
      <c r="O471" s="1290"/>
      <c r="P471" s="1290"/>
    </row>
    <row r="472" spans="1:16" s="1335" customFormat="1">
      <c r="A472" s="1334"/>
      <c r="B472" s="1290"/>
      <c r="C472" s="1290"/>
      <c r="G472" s="1290"/>
      <c r="H472" s="1290"/>
      <c r="I472" s="1290"/>
      <c r="J472" s="1290"/>
      <c r="K472" s="1290"/>
      <c r="L472" s="1290"/>
      <c r="M472" s="1290"/>
      <c r="N472" s="1290"/>
      <c r="O472" s="1290"/>
      <c r="P472" s="1290"/>
    </row>
    <row r="473" spans="1:16" s="1335" customFormat="1">
      <c r="A473" s="1334"/>
      <c r="B473" s="1290"/>
      <c r="C473" s="1290"/>
      <c r="G473" s="1290"/>
      <c r="H473" s="1290"/>
      <c r="I473" s="1290"/>
      <c r="J473" s="1290"/>
      <c r="K473" s="1290"/>
      <c r="L473" s="1290"/>
      <c r="M473" s="1290"/>
      <c r="N473" s="1290"/>
      <c r="O473" s="1290"/>
      <c r="P473" s="1290"/>
    </row>
    <row r="474" spans="1:16" s="1335" customFormat="1">
      <c r="A474" s="1334"/>
      <c r="B474" s="1290"/>
      <c r="C474" s="1290"/>
      <c r="G474" s="1290"/>
      <c r="H474" s="1290"/>
      <c r="I474" s="1290"/>
      <c r="J474" s="1290"/>
      <c r="K474" s="1290"/>
      <c r="L474" s="1290"/>
      <c r="M474" s="1290"/>
      <c r="N474" s="1290"/>
      <c r="O474" s="1290"/>
      <c r="P474" s="1290"/>
    </row>
    <row r="475" spans="1:16" s="1335" customFormat="1">
      <c r="A475" s="1334"/>
      <c r="B475" s="1290"/>
      <c r="C475" s="1290"/>
      <c r="G475" s="1290"/>
      <c r="H475" s="1290"/>
      <c r="I475" s="1290"/>
      <c r="J475" s="1290"/>
      <c r="K475" s="1290"/>
      <c r="L475" s="1290"/>
      <c r="M475" s="1290"/>
      <c r="N475" s="1290"/>
      <c r="O475" s="1290"/>
      <c r="P475" s="1290"/>
    </row>
    <row r="476" spans="1:16" s="1335" customFormat="1">
      <c r="A476" s="1334"/>
      <c r="B476" s="1290"/>
      <c r="C476" s="1290"/>
      <c r="G476" s="1290"/>
      <c r="H476" s="1290"/>
      <c r="I476" s="1290"/>
      <c r="J476" s="1290"/>
      <c r="K476" s="1290"/>
      <c r="L476" s="1290"/>
      <c r="M476" s="1290"/>
      <c r="N476" s="1290"/>
      <c r="O476" s="1290"/>
      <c r="P476" s="1290"/>
    </row>
    <row r="477" spans="1:16" s="1335" customFormat="1">
      <c r="A477" s="1334"/>
      <c r="B477" s="1290"/>
      <c r="C477" s="1290"/>
      <c r="G477" s="1290"/>
      <c r="H477" s="1290"/>
      <c r="I477" s="1290"/>
      <c r="J477" s="1290"/>
      <c r="K477" s="1290"/>
      <c r="L477" s="1290"/>
      <c r="M477" s="1290"/>
      <c r="N477" s="1290"/>
      <c r="O477" s="1290"/>
      <c r="P477" s="1290"/>
    </row>
    <row r="478" spans="1:16" s="1335" customFormat="1">
      <c r="A478" s="1334"/>
      <c r="B478" s="1290"/>
      <c r="C478" s="1290"/>
      <c r="G478" s="1290"/>
      <c r="H478" s="1290"/>
      <c r="I478" s="1290"/>
      <c r="J478" s="1290"/>
      <c r="K478" s="1290"/>
      <c r="L478" s="1290"/>
      <c r="M478" s="1290"/>
      <c r="N478" s="1290"/>
      <c r="O478" s="1290"/>
      <c r="P478" s="1290"/>
    </row>
    <row r="479" spans="1:16" s="1335" customFormat="1">
      <c r="A479" s="1334"/>
      <c r="B479" s="1290"/>
      <c r="C479" s="1290"/>
      <c r="G479" s="1290"/>
      <c r="H479" s="1290"/>
      <c r="I479" s="1290"/>
      <c r="J479" s="1290"/>
      <c r="K479" s="1290"/>
      <c r="L479" s="1290"/>
      <c r="M479" s="1290"/>
      <c r="N479" s="1290"/>
      <c r="O479" s="1290"/>
      <c r="P479" s="1290"/>
    </row>
    <row r="480" spans="1:16" s="1335" customFormat="1">
      <c r="A480" s="1334"/>
      <c r="B480" s="1290"/>
      <c r="C480" s="1290"/>
      <c r="G480" s="1290"/>
      <c r="H480" s="1290"/>
      <c r="I480" s="1290"/>
      <c r="J480" s="1290"/>
      <c r="K480" s="1290"/>
      <c r="L480" s="1290"/>
      <c r="M480" s="1290"/>
      <c r="N480" s="1290"/>
      <c r="O480" s="1290"/>
      <c r="P480" s="1290"/>
    </row>
    <row r="481" spans="1:16" s="1335" customFormat="1">
      <c r="A481" s="1334"/>
      <c r="B481" s="1290"/>
      <c r="C481" s="1290"/>
      <c r="G481" s="1290"/>
      <c r="H481" s="1290"/>
      <c r="I481" s="1290"/>
      <c r="J481" s="1290"/>
      <c r="K481" s="1290"/>
      <c r="L481" s="1290"/>
      <c r="M481" s="1290"/>
      <c r="N481" s="1290"/>
      <c r="O481" s="1290"/>
      <c r="P481" s="1290"/>
    </row>
    <row r="482" spans="1:16" s="1335" customFormat="1">
      <c r="A482" s="1334"/>
      <c r="B482" s="1290"/>
      <c r="C482" s="1290"/>
      <c r="G482" s="1290"/>
      <c r="H482" s="1290"/>
      <c r="I482" s="1290"/>
      <c r="J482" s="1290"/>
      <c r="K482" s="1290"/>
      <c r="L482" s="1290"/>
      <c r="M482" s="1290"/>
      <c r="N482" s="1290"/>
      <c r="O482" s="1290"/>
      <c r="P482" s="1290"/>
    </row>
    <row r="483" spans="1:16" s="1335" customFormat="1">
      <c r="A483" s="1334"/>
      <c r="B483" s="1290"/>
      <c r="C483" s="1290"/>
      <c r="G483" s="1290"/>
      <c r="H483" s="1290"/>
      <c r="I483" s="1290"/>
      <c r="J483" s="1290"/>
      <c r="K483" s="1290"/>
      <c r="L483" s="1290"/>
      <c r="M483" s="1290"/>
      <c r="N483" s="1290"/>
      <c r="O483" s="1290"/>
      <c r="P483" s="1290"/>
    </row>
    <row r="484" spans="1:16" s="1335" customFormat="1">
      <c r="A484" s="1334"/>
      <c r="B484" s="1290"/>
      <c r="C484" s="1290"/>
      <c r="G484" s="1290"/>
      <c r="H484" s="1290"/>
      <c r="I484" s="1290"/>
      <c r="J484" s="1290"/>
      <c r="K484" s="1290"/>
      <c r="L484" s="1290"/>
      <c r="M484" s="1290"/>
      <c r="N484" s="1290"/>
      <c r="O484" s="1290"/>
      <c r="P484" s="1290"/>
    </row>
    <row r="485" spans="1:16" s="1335" customFormat="1">
      <c r="A485" s="1334"/>
      <c r="B485" s="1290"/>
      <c r="C485" s="1290"/>
      <c r="G485" s="1290"/>
      <c r="H485" s="1290"/>
      <c r="I485" s="1290"/>
      <c r="J485" s="1290"/>
      <c r="K485" s="1290"/>
      <c r="L485" s="1290"/>
      <c r="M485" s="1290"/>
      <c r="N485" s="1290"/>
      <c r="O485" s="1290"/>
      <c r="P485" s="1290"/>
    </row>
    <row r="486" spans="1:16" s="1335" customFormat="1">
      <c r="A486" s="1334"/>
      <c r="B486" s="1290"/>
      <c r="C486" s="1290"/>
      <c r="G486" s="1290"/>
      <c r="H486" s="1290"/>
      <c r="I486" s="1290"/>
      <c r="J486" s="1290"/>
      <c r="K486" s="1290"/>
      <c r="L486" s="1290"/>
      <c r="M486" s="1290"/>
      <c r="N486" s="1290"/>
      <c r="O486" s="1290"/>
      <c r="P486" s="1290"/>
    </row>
    <row r="487" spans="1:16" s="1335" customFormat="1">
      <c r="A487" s="1334"/>
      <c r="B487" s="1290"/>
      <c r="C487" s="1290"/>
      <c r="G487" s="1290"/>
      <c r="H487" s="1290"/>
      <c r="I487" s="1290"/>
      <c r="J487" s="1290"/>
      <c r="K487" s="1290"/>
      <c r="L487" s="1290"/>
      <c r="M487" s="1290"/>
      <c r="N487" s="1290"/>
      <c r="O487" s="1290"/>
      <c r="P487" s="1290"/>
    </row>
    <row r="488" spans="1:16" s="1335" customFormat="1">
      <c r="A488" s="1334"/>
      <c r="B488" s="1290"/>
      <c r="C488" s="1290"/>
      <c r="G488" s="1290"/>
      <c r="H488" s="1290"/>
      <c r="I488" s="1290"/>
      <c r="J488" s="1290"/>
      <c r="K488" s="1290"/>
      <c r="L488" s="1290"/>
      <c r="M488" s="1290"/>
      <c r="N488" s="1290"/>
      <c r="O488" s="1290"/>
      <c r="P488" s="1290"/>
    </row>
    <row r="489" spans="1:16" s="1335" customFormat="1">
      <c r="A489" s="1334"/>
      <c r="B489" s="1290"/>
      <c r="C489" s="1290"/>
      <c r="G489" s="1290"/>
      <c r="H489" s="1290"/>
      <c r="I489" s="1290"/>
      <c r="J489" s="1290"/>
      <c r="K489" s="1290"/>
      <c r="L489" s="1290"/>
      <c r="M489" s="1290"/>
      <c r="N489" s="1290"/>
      <c r="O489" s="1290"/>
      <c r="P489" s="1290"/>
    </row>
    <row r="490" spans="1:16" s="1335" customFormat="1">
      <c r="A490" s="1334"/>
      <c r="B490" s="1290"/>
      <c r="C490" s="1290"/>
      <c r="G490" s="1290"/>
      <c r="H490" s="1290"/>
      <c r="I490" s="1290"/>
      <c r="J490" s="1290"/>
      <c r="K490" s="1290"/>
      <c r="L490" s="1290"/>
      <c r="M490" s="1290"/>
      <c r="N490" s="1290"/>
      <c r="O490" s="1290"/>
      <c r="P490" s="1290"/>
    </row>
    <row r="491" spans="1:16" s="1335" customFormat="1">
      <c r="A491" s="1334"/>
      <c r="B491" s="1290"/>
      <c r="C491" s="1290"/>
      <c r="G491" s="1290"/>
      <c r="H491" s="1290"/>
      <c r="I491" s="1290"/>
      <c r="J491" s="1290"/>
      <c r="K491" s="1290"/>
      <c r="L491" s="1290"/>
      <c r="M491" s="1290"/>
      <c r="N491" s="1290"/>
      <c r="O491" s="1290"/>
      <c r="P491" s="1290"/>
    </row>
    <row r="492" spans="1:16" s="1335" customFormat="1">
      <c r="A492" s="1334"/>
      <c r="B492" s="1290"/>
      <c r="C492" s="1290"/>
      <c r="G492" s="1290"/>
      <c r="H492" s="1290"/>
      <c r="I492" s="1290"/>
      <c r="J492" s="1290"/>
      <c r="K492" s="1290"/>
      <c r="L492" s="1290"/>
      <c r="M492" s="1290"/>
      <c r="N492" s="1290"/>
      <c r="O492" s="1290"/>
      <c r="P492" s="1290"/>
    </row>
    <row r="493" spans="1:16" s="1335" customFormat="1">
      <c r="A493" s="1334"/>
      <c r="B493" s="1290"/>
      <c r="C493" s="1290"/>
      <c r="G493" s="1290"/>
      <c r="H493" s="1290"/>
      <c r="I493" s="1290"/>
      <c r="J493" s="1290"/>
      <c r="K493" s="1290"/>
      <c r="L493" s="1290"/>
      <c r="M493" s="1290"/>
      <c r="N493" s="1290"/>
      <c r="O493" s="1290"/>
      <c r="P493" s="1290"/>
    </row>
    <row r="494" spans="1:16" s="1335" customFormat="1">
      <c r="A494" s="1334"/>
      <c r="B494" s="1290"/>
      <c r="C494" s="1290"/>
      <c r="G494" s="1290"/>
      <c r="H494" s="1290"/>
      <c r="I494" s="1290"/>
      <c r="J494" s="1290"/>
      <c r="K494" s="1290"/>
      <c r="L494" s="1290"/>
      <c r="M494" s="1290"/>
      <c r="N494" s="1290"/>
      <c r="O494" s="1290"/>
      <c r="P494" s="1290"/>
    </row>
    <row r="495" spans="1:16" s="1335" customFormat="1">
      <c r="A495" s="1334"/>
      <c r="B495" s="1290"/>
      <c r="C495" s="1290"/>
      <c r="G495" s="1290"/>
      <c r="H495" s="1290"/>
      <c r="I495" s="1290"/>
      <c r="J495" s="1290"/>
      <c r="K495" s="1290"/>
      <c r="L495" s="1290"/>
      <c r="M495" s="1290"/>
      <c r="N495" s="1290"/>
      <c r="O495" s="1290"/>
      <c r="P495" s="1290"/>
    </row>
    <row r="496" spans="1:16" s="1335" customFormat="1">
      <c r="A496" s="1334"/>
      <c r="B496" s="1290"/>
      <c r="C496" s="1290"/>
      <c r="G496" s="1290"/>
      <c r="H496" s="1290"/>
      <c r="I496" s="1290"/>
      <c r="J496" s="1290"/>
      <c r="K496" s="1290"/>
      <c r="L496" s="1290"/>
      <c r="M496" s="1290"/>
      <c r="N496" s="1290"/>
      <c r="O496" s="1290"/>
      <c r="P496" s="1290"/>
    </row>
    <row r="497" spans="1:16" s="1335" customFormat="1">
      <c r="A497" s="1334"/>
      <c r="B497" s="1290"/>
      <c r="C497" s="1290"/>
      <c r="G497" s="1290"/>
      <c r="H497" s="1290"/>
      <c r="I497" s="1290"/>
      <c r="J497" s="1290"/>
      <c r="K497" s="1290"/>
      <c r="L497" s="1290"/>
      <c r="M497" s="1290"/>
      <c r="N497" s="1290"/>
      <c r="O497" s="1290"/>
      <c r="P497" s="1290"/>
    </row>
    <row r="498" spans="1:16" s="1335" customFormat="1">
      <c r="A498" s="1334"/>
      <c r="B498" s="1290"/>
      <c r="C498" s="1290"/>
      <c r="G498" s="1290"/>
      <c r="H498" s="1290"/>
      <c r="I498" s="1290"/>
      <c r="J498" s="1290"/>
      <c r="K498" s="1290"/>
      <c r="L498" s="1290"/>
      <c r="M498" s="1290"/>
      <c r="N498" s="1290"/>
      <c r="O498" s="1290"/>
      <c r="P498" s="1290"/>
    </row>
    <row r="499" spans="1:16" s="1335" customFormat="1">
      <c r="A499" s="1334"/>
      <c r="B499" s="1290"/>
      <c r="C499" s="1290"/>
      <c r="G499" s="1290"/>
      <c r="H499" s="1290"/>
      <c r="I499" s="1290"/>
      <c r="J499" s="1290"/>
      <c r="K499" s="1290"/>
      <c r="L499" s="1290"/>
      <c r="M499" s="1290"/>
      <c r="N499" s="1290"/>
      <c r="O499" s="1290"/>
      <c r="P499" s="1290"/>
    </row>
    <row r="500" spans="1:16" s="1335" customFormat="1">
      <c r="A500" s="1334"/>
      <c r="B500" s="1290"/>
      <c r="C500" s="1290"/>
      <c r="G500" s="1290"/>
      <c r="H500" s="1290"/>
      <c r="I500" s="1290"/>
      <c r="J500" s="1290"/>
      <c r="K500" s="1290"/>
      <c r="L500" s="1290"/>
      <c r="M500" s="1290"/>
      <c r="N500" s="1290"/>
      <c r="O500" s="1290"/>
      <c r="P500" s="1290"/>
    </row>
    <row r="501" spans="1:16" s="1335" customFormat="1">
      <c r="A501" s="1334"/>
      <c r="B501" s="1290"/>
      <c r="C501" s="1290"/>
      <c r="G501" s="1290"/>
      <c r="H501" s="1290"/>
      <c r="I501" s="1290"/>
      <c r="J501" s="1290"/>
      <c r="K501" s="1290"/>
      <c r="L501" s="1290"/>
      <c r="M501" s="1290"/>
      <c r="N501" s="1290"/>
      <c r="O501" s="1290"/>
      <c r="P501" s="1290"/>
    </row>
    <row r="502" spans="1:16" s="1335" customFormat="1">
      <c r="A502" s="1334"/>
      <c r="B502" s="1290"/>
      <c r="C502" s="1290"/>
      <c r="G502" s="1290"/>
      <c r="H502" s="1290"/>
      <c r="I502" s="1290"/>
      <c r="J502" s="1290"/>
      <c r="K502" s="1290"/>
      <c r="L502" s="1290"/>
      <c r="M502" s="1290"/>
      <c r="N502" s="1290"/>
      <c r="O502" s="1290"/>
      <c r="P502" s="1290"/>
    </row>
    <row r="503" spans="1:16" s="1335" customFormat="1">
      <c r="A503" s="1334"/>
      <c r="B503" s="1290"/>
      <c r="C503" s="1290"/>
      <c r="G503" s="1290"/>
      <c r="H503" s="1290"/>
      <c r="I503" s="1290"/>
      <c r="J503" s="1290"/>
      <c r="K503" s="1290"/>
      <c r="L503" s="1290"/>
      <c r="M503" s="1290"/>
      <c r="N503" s="1290"/>
      <c r="O503" s="1290"/>
      <c r="P503" s="1290"/>
    </row>
    <row r="504" spans="1:16" s="1335" customFormat="1">
      <c r="A504" s="1334"/>
      <c r="B504" s="1290"/>
      <c r="C504" s="1290"/>
      <c r="G504" s="1290"/>
      <c r="H504" s="1290"/>
      <c r="I504" s="1290"/>
      <c r="J504" s="1290"/>
      <c r="K504" s="1290"/>
      <c r="L504" s="1290"/>
      <c r="M504" s="1290"/>
      <c r="N504" s="1290"/>
      <c r="O504" s="1290"/>
      <c r="P504" s="1290"/>
    </row>
    <row r="505" spans="1:16" s="1335" customFormat="1">
      <c r="A505" s="1334"/>
      <c r="B505" s="1290"/>
      <c r="C505" s="1290"/>
      <c r="G505" s="1290"/>
      <c r="H505" s="1290"/>
      <c r="I505" s="1290"/>
      <c r="J505" s="1290"/>
      <c r="K505" s="1290"/>
      <c r="L505" s="1290"/>
      <c r="M505" s="1290"/>
      <c r="N505" s="1290"/>
      <c r="O505" s="1290"/>
      <c r="P505" s="1290"/>
    </row>
    <row r="506" spans="1:16" s="1335" customFormat="1">
      <c r="A506" s="1334"/>
      <c r="B506" s="1290"/>
      <c r="C506" s="1290"/>
      <c r="G506" s="1290"/>
      <c r="H506" s="1290"/>
      <c r="I506" s="1290"/>
      <c r="J506" s="1290"/>
      <c r="K506" s="1290"/>
      <c r="L506" s="1290"/>
      <c r="M506" s="1290"/>
      <c r="N506" s="1290"/>
      <c r="O506" s="1290"/>
      <c r="P506" s="1290"/>
    </row>
    <row r="507" spans="1:16" s="1335" customFormat="1">
      <c r="A507" s="1334"/>
      <c r="B507" s="1290"/>
      <c r="C507" s="1290"/>
      <c r="G507" s="1290"/>
      <c r="H507" s="1290"/>
      <c r="I507" s="1290"/>
      <c r="J507" s="1290"/>
      <c r="K507" s="1290"/>
      <c r="L507" s="1290"/>
      <c r="M507" s="1290"/>
      <c r="N507" s="1290"/>
      <c r="O507" s="1290"/>
      <c r="P507" s="1290"/>
    </row>
    <row r="508" spans="1:16" s="1335" customFormat="1">
      <c r="A508" s="1334"/>
      <c r="B508" s="1290"/>
      <c r="C508" s="1290"/>
      <c r="G508" s="1290"/>
      <c r="H508" s="1290"/>
      <c r="I508" s="1290"/>
      <c r="J508" s="1290"/>
      <c r="K508" s="1290"/>
      <c r="L508" s="1290"/>
      <c r="M508" s="1290"/>
      <c r="N508" s="1290"/>
      <c r="O508" s="1290"/>
      <c r="P508" s="1290"/>
    </row>
    <row r="509" spans="1:16" s="1335" customFormat="1">
      <c r="A509" s="1334"/>
      <c r="B509" s="1290"/>
      <c r="C509" s="1290"/>
      <c r="G509" s="1290"/>
      <c r="H509" s="1290"/>
      <c r="I509" s="1290"/>
      <c r="J509" s="1290"/>
      <c r="K509" s="1290"/>
      <c r="L509" s="1290"/>
      <c r="M509" s="1290"/>
      <c r="N509" s="1290"/>
      <c r="O509" s="1290"/>
      <c r="P509" s="1290"/>
    </row>
    <row r="510" spans="1:16" s="1335" customFormat="1">
      <c r="A510" s="1334"/>
      <c r="B510" s="1290"/>
      <c r="C510" s="1290"/>
      <c r="G510" s="1290"/>
      <c r="H510" s="1290"/>
      <c r="I510" s="1290"/>
      <c r="J510" s="1290"/>
      <c r="K510" s="1290"/>
      <c r="L510" s="1290"/>
      <c r="M510" s="1290"/>
      <c r="N510" s="1290"/>
      <c r="O510" s="1290"/>
      <c r="P510" s="1290"/>
    </row>
    <row r="511" spans="1:16" s="1335" customFormat="1">
      <c r="A511" s="1334"/>
      <c r="B511" s="1290"/>
      <c r="C511" s="1290"/>
      <c r="G511" s="1290"/>
      <c r="H511" s="1290"/>
      <c r="I511" s="1290"/>
      <c r="J511" s="1290"/>
      <c r="K511" s="1290"/>
      <c r="L511" s="1290"/>
      <c r="M511" s="1290"/>
      <c r="N511" s="1290"/>
      <c r="O511" s="1290"/>
      <c r="P511" s="1290"/>
    </row>
    <row r="512" spans="1:16" s="1335" customFormat="1">
      <c r="A512" s="1334"/>
      <c r="B512" s="1290"/>
      <c r="C512" s="1290"/>
      <c r="G512" s="1290"/>
      <c r="H512" s="1290"/>
      <c r="I512" s="1290"/>
      <c r="J512" s="1290"/>
      <c r="K512" s="1290"/>
      <c r="L512" s="1290"/>
      <c r="M512" s="1290"/>
      <c r="N512" s="1290"/>
      <c r="O512" s="1290"/>
      <c r="P512" s="1290"/>
    </row>
    <row r="513" spans="1:16" s="1335" customFormat="1">
      <c r="A513" s="1334"/>
      <c r="B513" s="1290"/>
      <c r="C513" s="1290"/>
      <c r="G513" s="1290"/>
      <c r="H513" s="1290"/>
      <c r="I513" s="1290"/>
      <c r="J513" s="1290"/>
      <c r="K513" s="1290"/>
      <c r="L513" s="1290"/>
      <c r="M513" s="1290"/>
      <c r="N513" s="1290"/>
      <c r="O513" s="1290"/>
      <c r="P513" s="1290"/>
    </row>
    <row r="514" spans="1:16" s="1335" customFormat="1">
      <c r="A514" s="1334"/>
      <c r="B514" s="1290"/>
      <c r="C514" s="1290"/>
      <c r="G514" s="1290"/>
      <c r="H514" s="1290"/>
      <c r="I514" s="1290"/>
      <c r="J514" s="1290"/>
      <c r="K514" s="1290"/>
      <c r="L514" s="1290"/>
      <c r="M514" s="1290"/>
      <c r="N514" s="1290"/>
      <c r="O514" s="1290"/>
      <c r="P514" s="1290"/>
    </row>
    <row r="515" spans="1:16" s="1335" customFormat="1">
      <c r="A515" s="1334"/>
      <c r="B515" s="1290"/>
      <c r="C515" s="1290"/>
      <c r="G515" s="1290"/>
      <c r="H515" s="1290"/>
      <c r="I515" s="1290"/>
      <c r="J515" s="1290"/>
      <c r="K515" s="1290"/>
      <c r="L515" s="1290"/>
      <c r="M515" s="1290"/>
      <c r="N515" s="1290"/>
      <c r="O515" s="1290"/>
      <c r="P515" s="1290"/>
    </row>
    <row r="516" spans="1:16" s="1335" customFormat="1">
      <c r="A516" s="1334"/>
      <c r="B516" s="1290"/>
      <c r="C516" s="1290"/>
      <c r="G516" s="1290"/>
      <c r="H516" s="1290"/>
      <c r="I516" s="1290"/>
      <c r="J516" s="1290"/>
      <c r="K516" s="1290"/>
      <c r="L516" s="1290"/>
      <c r="M516" s="1290"/>
      <c r="N516" s="1290"/>
      <c r="O516" s="1290"/>
      <c r="P516" s="1290"/>
    </row>
    <row r="517" spans="1:16" s="1335" customFormat="1">
      <c r="A517" s="1334"/>
      <c r="B517" s="1290"/>
      <c r="C517" s="1290"/>
      <c r="G517" s="1290"/>
      <c r="H517" s="1290"/>
      <c r="I517" s="1290"/>
      <c r="J517" s="1290"/>
      <c r="K517" s="1290"/>
      <c r="L517" s="1290"/>
      <c r="M517" s="1290"/>
      <c r="N517" s="1290"/>
      <c r="O517" s="1290"/>
      <c r="P517" s="1290"/>
    </row>
    <row r="518" spans="1:16" s="1335" customFormat="1">
      <c r="A518" s="1334"/>
      <c r="B518" s="1290"/>
      <c r="C518" s="1290"/>
      <c r="G518" s="1290"/>
      <c r="H518" s="1290"/>
      <c r="I518" s="1290"/>
      <c r="J518" s="1290"/>
      <c r="K518" s="1290"/>
      <c r="L518" s="1290"/>
      <c r="M518" s="1290"/>
      <c r="N518" s="1290"/>
      <c r="O518" s="1290"/>
      <c r="P518" s="1290"/>
    </row>
    <row r="519" spans="1:16" s="1335" customFormat="1">
      <c r="A519" s="1334"/>
      <c r="B519" s="1290"/>
      <c r="C519" s="1290"/>
      <c r="G519" s="1290"/>
      <c r="H519" s="1290"/>
      <c r="I519" s="1290"/>
      <c r="J519" s="1290"/>
      <c r="K519" s="1290"/>
      <c r="L519" s="1290"/>
      <c r="M519" s="1290"/>
      <c r="N519" s="1290"/>
      <c r="O519" s="1290"/>
      <c r="P519" s="1290"/>
    </row>
    <row r="520" spans="1:16" s="1335" customFormat="1">
      <c r="A520" s="1334"/>
      <c r="B520" s="1290"/>
      <c r="C520" s="1290"/>
      <c r="G520" s="1290"/>
      <c r="H520" s="1290"/>
      <c r="I520" s="1290"/>
      <c r="J520" s="1290"/>
      <c r="K520" s="1290"/>
      <c r="L520" s="1290"/>
      <c r="M520" s="1290"/>
      <c r="N520" s="1290"/>
      <c r="O520" s="1290"/>
      <c r="P520" s="1290"/>
    </row>
    <row r="521" spans="1:16" s="1335" customFormat="1">
      <c r="A521" s="1334"/>
      <c r="B521" s="1290"/>
      <c r="C521" s="1290"/>
      <c r="G521" s="1290"/>
      <c r="H521" s="1290"/>
      <c r="I521" s="1290"/>
      <c r="J521" s="1290"/>
      <c r="K521" s="1290"/>
      <c r="L521" s="1290"/>
      <c r="M521" s="1290"/>
      <c r="N521" s="1290"/>
      <c r="O521" s="1290"/>
      <c r="P521" s="1290"/>
    </row>
    <row r="522" spans="1:16" s="1335" customFormat="1">
      <c r="A522" s="1334"/>
      <c r="B522" s="1290"/>
      <c r="C522" s="1290"/>
      <c r="G522" s="1290"/>
      <c r="H522" s="1290"/>
      <c r="I522" s="1290"/>
      <c r="J522" s="1290"/>
      <c r="K522" s="1290"/>
      <c r="L522" s="1290"/>
      <c r="M522" s="1290"/>
      <c r="N522" s="1290"/>
      <c r="O522" s="1290"/>
      <c r="P522" s="1290"/>
    </row>
    <row r="523" spans="1:16" s="1335" customFormat="1">
      <c r="A523" s="1334"/>
      <c r="B523" s="1290"/>
      <c r="C523" s="1290"/>
      <c r="G523" s="1290"/>
      <c r="H523" s="1290"/>
      <c r="I523" s="1290"/>
      <c r="J523" s="1290"/>
      <c r="K523" s="1290"/>
      <c r="L523" s="1290"/>
      <c r="M523" s="1290"/>
      <c r="N523" s="1290"/>
      <c r="O523" s="1290"/>
      <c r="P523" s="1290"/>
    </row>
    <row r="524" spans="1:16" s="1335" customFormat="1">
      <c r="A524" s="1334"/>
      <c r="B524" s="1290"/>
      <c r="C524" s="1290"/>
      <c r="G524" s="1290"/>
      <c r="H524" s="1290"/>
      <c r="I524" s="1290"/>
      <c r="J524" s="1290"/>
      <c r="K524" s="1290"/>
      <c r="L524" s="1290"/>
      <c r="M524" s="1290"/>
      <c r="N524" s="1290"/>
      <c r="O524" s="1290"/>
      <c r="P524" s="1290"/>
    </row>
    <row r="525" spans="1:16" s="1335" customFormat="1">
      <c r="A525" s="1334"/>
      <c r="B525" s="1290"/>
      <c r="C525" s="1290"/>
      <c r="G525" s="1290"/>
      <c r="H525" s="1290"/>
      <c r="I525" s="1290"/>
      <c r="J525" s="1290"/>
      <c r="K525" s="1290"/>
      <c r="L525" s="1290"/>
      <c r="M525" s="1290"/>
      <c r="N525" s="1290"/>
      <c r="O525" s="1290"/>
      <c r="P525" s="1290"/>
    </row>
    <row r="526" spans="1:16" s="1335" customFormat="1">
      <c r="A526" s="1334"/>
      <c r="B526" s="1290"/>
      <c r="C526" s="1290"/>
      <c r="G526" s="1290"/>
      <c r="H526" s="1290"/>
      <c r="I526" s="1290"/>
      <c r="J526" s="1290"/>
      <c r="K526" s="1290"/>
      <c r="L526" s="1290"/>
      <c r="M526" s="1290"/>
      <c r="N526" s="1290"/>
      <c r="O526" s="1290"/>
      <c r="P526" s="1290"/>
    </row>
    <row r="527" spans="1:16" s="1335" customFormat="1">
      <c r="A527" s="1334"/>
      <c r="B527" s="1290"/>
      <c r="C527" s="1290"/>
      <c r="G527" s="1290"/>
      <c r="H527" s="1290"/>
      <c r="I527" s="1290"/>
      <c r="J527" s="1290"/>
      <c r="K527" s="1290"/>
      <c r="L527" s="1290"/>
      <c r="M527" s="1290"/>
      <c r="N527" s="1290"/>
      <c r="O527" s="1290"/>
      <c r="P527" s="1290"/>
    </row>
    <row r="528" spans="1:16" s="1335" customFormat="1">
      <c r="A528" s="1334"/>
      <c r="B528" s="1290"/>
      <c r="C528" s="1290"/>
      <c r="G528" s="1290"/>
      <c r="H528" s="1290"/>
      <c r="I528" s="1290"/>
      <c r="J528" s="1290"/>
      <c r="K528" s="1290"/>
      <c r="L528" s="1290"/>
      <c r="M528" s="1290"/>
      <c r="N528" s="1290"/>
      <c r="O528" s="1290"/>
      <c r="P528" s="1290"/>
    </row>
    <row r="529" spans="1:16" s="1335" customFormat="1">
      <c r="A529" s="1334"/>
      <c r="B529" s="1290"/>
      <c r="C529" s="1290"/>
      <c r="G529" s="1290"/>
      <c r="H529" s="1290"/>
      <c r="I529" s="1290"/>
      <c r="J529" s="1290"/>
      <c r="K529" s="1290"/>
      <c r="L529" s="1290"/>
      <c r="M529" s="1290"/>
      <c r="N529" s="1290"/>
      <c r="O529" s="1290"/>
      <c r="P529" s="1290"/>
    </row>
    <row r="530" spans="1:16" s="1335" customFormat="1">
      <c r="A530" s="1334"/>
      <c r="B530" s="1290"/>
      <c r="C530" s="1290"/>
      <c r="G530" s="1290"/>
      <c r="H530" s="1290"/>
      <c r="I530" s="1290"/>
      <c r="J530" s="1290"/>
      <c r="K530" s="1290"/>
      <c r="L530" s="1290"/>
      <c r="M530" s="1290"/>
      <c r="N530" s="1290"/>
      <c r="O530" s="1290"/>
      <c r="P530" s="1290"/>
    </row>
    <row r="531" spans="1:16" s="1335" customFormat="1">
      <c r="A531" s="1334"/>
      <c r="B531" s="1290"/>
      <c r="C531" s="1290"/>
      <c r="G531" s="1290"/>
      <c r="H531" s="1290"/>
      <c r="I531" s="1290"/>
      <c r="J531" s="1290"/>
      <c r="K531" s="1290"/>
      <c r="L531" s="1290"/>
      <c r="M531" s="1290"/>
      <c r="N531" s="1290"/>
      <c r="O531" s="1290"/>
      <c r="P531" s="1290"/>
    </row>
    <row r="532" spans="1:16" s="1335" customFormat="1">
      <c r="A532" s="1334"/>
      <c r="B532" s="1290"/>
      <c r="C532" s="1290"/>
      <c r="G532" s="1290"/>
      <c r="H532" s="1290"/>
      <c r="I532" s="1290"/>
      <c r="J532" s="1290"/>
      <c r="K532" s="1290"/>
      <c r="L532" s="1290"/>
      <c r="M532" s="1290"/>
      <c r="N532" s="1290"/>
      <c r="O532" s="1290"/>
      <c r="P532" s="1290"/>
    </row>
    <row r="533" spans="1:16" s="1335" customFormat="1">
      <c r="A533" s="1334"/>
      <c r="B533" s="1290"/>
      <c r="C533" s="1290"/>
      <c r="G533" s="1290"/>
      <c r="H533" s="1290"/>
      <c r="I533" s="1290"/>
      <c r="J533" s="1290"/>
      <c r="K533" s="1290"/>
      <c r="L533" s="1290"/>
      <c r="M533" s="1290"/>
      <c r="N533" s="1290"/>
      <c r="O533" s="1290"/>
      <c r="P533" s="1290"/>
    </row>
    <row r="534" spans="1:16" s="1335" customFormat="1">
      <c r="A534" s="1334"/>
      <c r="B534" s="1290"/>
      <c r="C534" s="1290"/>
      <c r="G534" s="1290"/>
      <c r="H534" s="1290"/>
      <c r="I534" s="1290"/>
      <c r="J534" s="1290"/>
      <c r="K534" s="1290"/>
      <c r="L534" s="1290"/>
      <c r="M534" s="1290"/>
      <c r="N534" s="1290"/>
      <c r="O534" s="1290"/>
      <c r="P534" s="1290"/>
    </row>
    <row r="535" spans="1:16" s="1335" customFormat="1">
      <c r="A535" s="1334"/>
      <c r="B535" s="1290"/>
      <c r="C535" s="1290"/>
      <c r="G535" s="1290"/>
      <c r="H535" s="1290"/>
      <c r="I535" s="1290"/>
      <c r="J535" s="1290"/>
      <c r="K535" s="1290"/>
      <c r="L535" s="1290"/>
      <c r="M535" s="1290"/>
      <c r="N535" s="1290"/>
      <c r="O535" s="1290"/>
      <c r="P535" s="1290"/>
    </row>
    <row r="536" spans="1:16" s="1335" customFormat="1">
      <c r="A536" s="1334"/>
      <c r="B536" s="1290"/>
      <c r="C536" s="1290"/>
      <c r="G536" s="1290"/>
      <c r="H536" s="1290"/>
      <c r="I536" s="1290"/>
      <c r="J536" s="1290"/>
      <c r="K536" s="1290"/>
      <c r="L536" s="1290"/>
      <c r="M536" s="1290"/>
      <c r="N536" s="1290"/>
      <c r="O536" s="1290"/>
      <c r="P536" s="1290"/>
    </row>
    <row r="537" spans="1:16" s="1335" customFormat="1">
      <c r="A537" s="1334"/>
      <c r="B537" s="1290"/>
      <c r="C537" s="1290"/>
      <c r="G537" s="1290"/>
      <c r="H537" s="1290"/>
      <c r="I537" s="1290"/>
      <c r="J537" s="1290"/>
      <c r="K537" s="1290"/>
      <c r="L537" s="1290"/>
      <c r="M537" s="1290"/>
      <c r="N537" s="1290"/>
      <c r="O537" s="1290"/>
      <c r="P537" s="1290"/>
    </row>
    <row r="538" spans="1:16" s="1335" customFormat="1">
      <c r="A538" s="1334"/>
      <c r="B538" s="1290"/>
      <c r="C538" s="1290"/>
      <c r="G538" s="1290"/>
      <c r="H538" s="1290"/>
      <c r="I538" s="1290"/>
      <c r="J538" s="1290"/>
      <c r="K538" s="1290"/>
      <c r="L538" s="1290"/>
      <c r="M538" s="1290"/>
      <c r="N538" s="1290"/>
      <c r="O538" s="1290"/>
      <c r="P538" s="1290"/>
    </row>
    <row r="539" spans="1:16" s="1335" customFormat="1">
      <c r="A539" s="1334"/>
      <c r="B539" s="1290"/>
      <c r="C539" s="1290"/>
      <c r="G539" s="1290"/>
      <c r="H539" s="1290"/>
      <c r="I539" s="1290"/>
      <c r="J539" s="1290"/>
      <c r="K539" s="1290"/>
      <c r="L539" s="1290"/>
      <c r="M539" s="1290"/>
      <c r="N539" s="1290"/>
      <c r="O539" s="1290"/>
      <c r="P539" s="1290"/>
    </row>
    <row r="540" spans="1:16" s="1335" customFormat="1">
      <c r="A540" s="1334"/>
      <c r="B540" s="1290"/>
      <c r="C540" s="1290"/>
      <c r="G540" s="1290"/>
      <c r="H540" s="1290"/>
      <c r="I540" s="1290"/>
      <c r="J540" s="1290"/>
      <c r="K540" s="1290"/>
      <c r="L540" s="1290"/>
      <c r="M540" s="1290"/>
      <c r="N540" s="1290"/>
      <c r="O540" s="1290"/>
      <c r="P540" s="1290"/>
    </row>
    <row r="541" spans="1:16" s="1335" customFormat="1">
      <c r="A541" s="1334"/>
      <c r="B541" s="1290"/>
      <c r="C541" s="1290"/>
      <c r="G541" s="1290"/>
      <c r="H541" s="1290"/>
      <c r="I541" s="1290"/>
      <c r="J541" s="1290"/>
      <c r="K541" s="1290"/>
      <c r="L541" s="1290"/>
      <c r="M541" s="1290"/>
      <c r="N541" s="1290"/>
      <c r="O541" s="1290"/>
      <c r="P541" s="1290"/>
    </row>
    <row r="542" spans="1:16" s="1335" customFormat="1">
      <c r="A542" s="1334"/>
      <c r="B542" s="1290"/>
      <c r="C542" s="1290"/>
      <c r="G542" s="1290"/>
      <c r="H542" s="1290"/>
      <c r="I542" s="1290"/>
      <c r="J542" s="1290"/>
      <c r="K542" s="1290"/>
      <c r="L542" s="1290"/>
      <c r="M542" s="1290"/>
      <c r="N542" s="1290"/>
      <c r="O542" s="1290"/>
      <c r="P542" s="1290"/>
    </row>
    <row r="543" spans="1:16" s="1335" customFormat="1">
      <c r="A543" s="1334"/>
      <c r="B543" s="1290"/>
      <c r="C543" s="1290"/>
      <c r="G543" s="1290"/>
      <c r="H543" s="1290"/>
      <c r="I543" s="1290"/>
      <c r="J543" s="1290"/>
      <c r="K543" s="1290"/>
      <c r="L543" s="1290"/>
      <c r="M543" s="1290"/>
      <c r="N543" s="1290"/>
      <c r="O543" s="1290"/>
      <c r="P543" s="1290"/>
    </row>
    <row r="544" spans="1:16" s="1335" customFormat="1">
      <c r="A544" s="1334"/>
      <c r="B544" s="1290"/>
      <c r="C544" s="1290"/>
      <c r="G544" s="1290"/>
      <c r="H544" s="1290"/>
      <c r="I544" s="1290"/>
      <c r="J544" s="1290"/>
      <c r="K544" s="1290"/>
      <c r="L544" s="1290"/>
      <c r="M544" s="1290"/>
      <c r="N544" s="1290"/>
      <c r="O544" s="1290"/>
      <c r="P544" s="1290"/>
    </row>
    <row r="545" spans="1:16" s="1335" customFormat="1">
      <c r="A545" s="1334"/>
      <c r="B545" s="1290"/>
      <c r="C545" s="1290"/>
      <c r="G545" s="1290"/>
      <c r="H545" s="1290"/>
      <c r="I545" s="1290"/>
      <c r="J545" s="1290"/>
      <c r="K545" s="1290"/>
      <c r="L545" s="1290"/>
      <c r="M545" s="1290"/>
      <c r="N545" s="1290"/>
      <c r="O545" s="1290"/>
      <c r="P545" s="1290"/>
    </row>
    <row r="546" spans="1:16" s="1335" customFormat="1">
      <c r="A546" s="1334"/>
      <c r="B546" s="1290"/>
      <c r="C546" s="1290"/>
      <c r="G546" s="1290"/>
      <c r="H546" s="1290"/>
      <c r="I546" s="1290"/>
      <c r="J546" s="1290"/>
      <c r="K546" s="1290"/>
      <c r="L546" s="1290"/>
      <c r="M546" s="1290"/>
      <c r="N546" s="1290"/>
      <c r="O546" s="1290"/>
      <c r="P546" s="1290"/>
    </row>
    <row r="547" spans="1:16" s="1335" customFormat="1">
      <c r="A547" s="1334"/>
      <c r="B547" s="1290"/>
      <c r="C547" s="1290"/>
      <c r="G547" s="1290"/>
      <c r="H547" s="1290"/>
      <c r="I547" s="1290"/>
      <c r="J547" s="1290"/>
      <c r="K547" s="1290"/>
      <c r="L547" s="1290"/>
      <c r="M547" s="1290"/>
      <c r="N547" s="1290"/>
      <c r="O547" s="1290"/>
      <c r="P547" s="1290"/>
    </row>
    <row r="548" spans="1:16" s="1335" customFormat="1">
      <c r="A548" s="1334"/>
      <c r="B548" s="1290"/>
      <c r="C548" s="1290"/>
      <c r="G548" s="1290"/>
      <c r="H548" s="1290"/>
      <c r="I548" s="1290"/>
      <c r="J548" s="1290"/>
      <c r="K548" s="1290"/>
      <c r="L548" s="1290"/>
      <c r="M548" s="1290"/>
      <c r="N548" s="1290"/>
      <c r="O548" s="1290"/>
      <c r="P548" s="1290"/>
    </row>
    <row r="549" spans="1:16" s="1335" customFormat="1">
      <c r="A549" s="1334"/>
      <c r="B549" s="1290"/>
      <c r="C549" s="1290"/>
      <c r="G549" s="1290"/>
      <c r="H549" s="1290"/>
      <c r="I549" s="1290"/>
      <c r="J549" s="1290"/>
      <c r="K549" s="1290"/>
      <c r="L549" s="1290"/>
      <c r="M549" s="1290"/>
      <c r="N549" s="1290"/>
      <c r="O549" s="1290"/>
      <c r="P549" s="1290"/>
    </row>
    <row r="550" spans="1:16" s="1335" customFormat="1">
      <c r="A550" s="1334"/>
      <c r="B550" s="1290"/>
      <c r="C550" s="1290"/>
      <c r="G550" s="1290"/>
      <c r="H550" s="1290"/>
      <c r="I550" s="1290"/>
      <c r="J550" s="1290"/>
      <c r="K550" s="1290"/>
      <c r="L550" s="1290"/>
      <c r="M550" s="1290"/>
      <c r="N550" s="1290"/>
      <c r="O550" s="1290"/>
      <c r="P550" s="1290"/>
    </row>
    <row r="551" spans="1:16" s="1335" customFormat="1">
      <c r="A551" s="1334"/>
      <c r="B551" s="1290"/>
      <c r="C551" s="1290"/>
      <c r="G551" s="1290"/>
      <c r="H551" s="1290"/>
      <c r="I551" s="1290"/>
      <c r="J551" s="1290"/>
      <c r="K551" s="1290"/>
      <c r="L551" s="1290"/>
      <c r="M551" s="1290"/>
      <c r="N551" s="1290"/>
      <c r="O551" s="1290"/>
      <c r="P551" s="1290"/>
    </row>
    <row r="552" spans="1:16" s="1335" customFormat="1">
      <c r="A552" s="1334"/>
      <c r="B552" s="1290"/>
      <c r="C552" s="1290"/>
      <c r="G552" s="1290"/>
      <c r="H552" s="1290"/>
      <c r="I552" s="1290"/>
      <c r="J552" s="1290"/>
      <c r="K552" s="1290"/>
      <c r="L552" s="1290"/>
      <c r="M552" s="1290"/>
      <c r="N552" s="1290"/>
      <c r="O552" s="1290"/>
      <c r="P552" s="1290"/>
    </row>
    <row r="553" spans="1:16" s="1335" customFormat="1">
      <c r="A553" s="1334"/>
      <c r="B553" s="1290"/>
      <c r="C553" s="1290"/>
      <c r="G553" s="1290"/>
      <c r="H553" s="1290"/>
      <c r="I553" s="1290"/>
      <c r="J553" s="1290"/>
      <c r="K553" s="1290"/>
      <c r="L553" s="1290"/>
      <c r="M553" s="1290"/>
      <c r="N553" s="1290"/>
      <c r="O553" s="1290"/>
      <c r="P553" s="1290"/>
    </row>
    <row r="554" spans="1:16" s="1335" customFormat="1">
      <c r="A554" s="1334"/>
      <c r="B554" s="1290"/>
      <c r="C554" s="1290"/>
      <c r="G554" s="1290"/>
      <c r="H554" s="1290"/>
      <c r="I554" s="1290"/>
      <c r="J554" s="1290"/>
      <c r="K554" s="1290"/>
      <c r="L554" s="1290"/>
      <c r="M554" s="1290"/>
      <c r="N554" s="1290"/>
      <c r="O554" s="1290"/>
      <c r="P554" s="1290"/>
    </row>
    <row r="555" spans="1:16" s="1335" customFormat="1">
      <c r="A555" s="1334"/>
      <c r="B555" s="1290"/>
      <c r="C555" s="1290"/>
      <c r="G555" s="1290"/>
      <c r="H555" s="1290"/>
      <c r="I555" s="1290"/>
      <c r="J555" s="1290"/>
      <c r="K555" s="1290"/>
      <c r="L555" s="1290"/>
      <c r="M555" s="1290"/>
      <c r="N555" s="1290"/>
      <c r="O555" s="1290"/>
      <c r="P555" s="1290"/>
    </row>
    <row r="556" spans="1:16" s="1335" customFormat="1">
      <c r="A556" s="1334"/>
      <c r="B556" s="1290"/>
      <c r="C556" s="1290"/>
      <c r="G556" s="1290"/>
      <c r="H556" s="1290"/>
      <c r="I556" s="1290"/>
      <c r="J556" s="1290"/>
      <c r="K556" s="1290"/>
      <c r="L556" s="1290"/>
      <c r="M556" s="1290"/>
      <c r="N556" s="1290"/>
      <c r="O556" s="1290"/>
      <c r="P556" s="1290"/>
    </row>
    <row r="557" spans="1:16" s="1335" customFormat="1">
      <c r="A557" s="1334"/>
      <c r="B557" s="1290"/>
      <c r="C557" s="1290"/>
      <c r="G557" s="1290"/>
      <c r="H557" s="1290"/>
      <c r="I557" s="1290"/>
      <c r="J557" s="1290"/>
      <c r="K557" s="1290"/>
      <c r="L557" s="1290"/>
      <c r="M557" s="1290"/>
      <c r="N557" s="1290"/>
      <c r="O557" s="1290"/>
      <c r="P557" s="1290"/>
    </row>
    <row r="558" spans="1:16" s="1335" customFormat="1">
      <c r="A558" s="1334"/>
      <c r="B558" s="1290"/>
      <c r="C558" s="1290"/>
      <c r="G558" s="1290"/>
      <c r="H558" s="1290"/>
      <c r="I558" s="1290"/>
      <c r="J558" s="1290"/>
      <c r="K558" s="1290"/>
      <c r="L558" s="1290"/>
      <c r="M558" s="1290"/>
      <c r="N558" s="1290"/>
      <c r="O558" s="1290"/>
      <c r="P558" s="1290"/>
    </row>
    <row r="559" spans="1:16" s="1335" customFormat="1">
      <c r="A559" s="1334"/>
      <c r="B559" s="1290"/>
      <c r="C559" s="1290"/>
      <c r="G559" s="1290"/>
      <c r="H559" s="1290"/>
      <c r="I559" s="1290"/>
      <c r="J559" s="1290"/>
      <c r="K559" s="1290"/>
      <c r="L559" s="1290"/>
      <c r="M559" s="1290"/>
      <c r="N559" s="1290"/>
      <c r="O559" s="1290"/>
      <c r="P559" s="1290"/>
    </row>
    <row r="560" spans="1:16" s="1335" customFormat="1">
      <c r="A560" s="1334"/>
      <c r="B560" s="1290"/>
      <c r="C560" s="1290"/>
      <c r="G560" s="1290"/>
      <c r="H560" s="1290"/>
      <c r="I560" s="1290"/>
      <c r="J560" s="1290"/>
      <c r="K560" s="1290"/>
      <c r="L560" s="1290"/>
      <c r="M560" s="1290"/>
      <c r="N560" s="1290"/>
      <c r="O560" s="1290"/>
      <c r="P560" s="1290"/>
    </row>
    <row r="561" spans="1:16" s="1335" customFormat="1">
      <c r="A561" s="1334"/>
      <c r="B561" s="1290"/>
      <c r="C561" s="1290"/>
      <c r="G561" s="1290"/>
      <c r="H561" s="1290"/>
      <c r="I561" s="1290"/>
      <c r="J561" s="1290"/>
      <c r="K561" s="1290"/>
      <c r="L561" s="1290"/>
      <c r="M561" s="1290"/>
      <c r="N561" s="1290"/>
      <c r="O561" s="1290"/>
      <c r="P561" s="1290"/>
    </row>
    <row r="562" spans="1:16" s="1335" customFormat="1">
      <c r="A562" s="1334"/>
      <c r="B562" s="1290"/>
      <c r="C562" s="1290"/>
      <c r="G562" s="1290"/>
      <c r="H562" s="1290"/>
      <c r="I562" s="1290"/>
      <c r="J562" s="1290"/>
      <c r="K562" s="1290"/>
      <c r="L562" s="1290"/>
      <c r="M562" s="1290"/>
      <c r="N562" s="1290"/>
      <c r="O562" s="1290"/>
      <c r="P562" s="1290"/>
    </row>
    <row r="563" spans="1:16" s="1335" customFormat="1">
      <c r="A563" s="1334"/>
      <c r="B563" s="1290"/>
      <c r="C563" s="1290"/>
      <c r="G563" s="1290"/>
      <c r="H563" s="1290"/>
      <c r="I563" s="1290"/>
      <c r="J563" s="1290"/>
      <c r="K563" s="1290"/>
      <c r="L563" s="1290"/>
      <c r="M563" s="1290"/>
      <c r="N563" s="1290"/>
      <c r="O563" s="1290"/>
      <c r="P563" s="1290"/>
    </row>
    <row r="564" spans="1:16" s="1335" customFormat="1">
      <c r="A564" s="1334"/>
      <c r="B564" s="1290"/>
      <c r="C564" s="1290"/>
      <c r="G564" s="1290"/>
      <c r="H564" s="1290"/>
      <c r="I564" s="1290"/>
      <c r="J564" s="1290"/>
      <c r="K564" s="1290"/>
      <c r="L564" s="1290"/>
      <c r="M564" s="1290"/>
      <c r="N564" s="1290"/>
      <c r="O564" s="1290"/>
      <c r="P564" s="1290"/>
    </row>
    <row r="565" spans="1:16" s="1335" customFormat="1">
      <c r="A565" s="1334"/>
      <c r="B565" s="1290"/>
      <c r="C565" s="1290"/>
      <c r="G565" s="1290"/>
      <c r="H565" s="1290"/>
      <c r="I565" s="1290"/>
      <c r="J565" s="1290"/>
      <c r="K565" s="1290"/>
      <c r="L565" s="1290"/>
      <c r="M565" s="1290"/>
      <c r="N565" s="1290"/>
      <c r="O565" s="1290"/>
      <c r="P565" s="1290"/>
    </row>
    <row r="566" spans="1:16" s="1335" customFormat="1">
      <c r="A566" s="1334"/>
      <c r="B566" s="1290"/>
      <c r="C566" s="1290"/>
      <c r="G566" s="1290"/>
      <c r="H566" s="1290"/>
      <c r="I566" s="1290"/>
      <c r="J566" s="1290"/>
      <c r="K566" s="1290"/>
      <c r="L566" s="1290"/>
      <c r="M566" s="1290"/>
      <c r="N566" s="1290"/>
      <c r="O566" s="1290"/>
      <c r="P566" s="1290"/>
    </row>
    <row r="567" spans="1:16" s="1335" customFormat="1">
      <c r="A567" s="1334"/>
      <c r="B567" s="1290"/>
      <c r="C567" s="1290"/>
      <c r="G567" s="1290"/>
      <c r="H567" s="1290"/>
      <c r="I567" s="1290"/>
      <c r="J567" s="1290"/>
      <c r="K567" s="1290"/>
      <c r="L567" s="1290"/>
      <c r="M567" s="1290"/>
      <c r="N567" s="1290"/>
      <c r="O567" s="1290"/>
      <c r="P567" s="1290"/>
    </row>
    <row r="568" spans="1:16" s="1335" customFormat="1">
      <c r="A568" s="1334"/>
      <c r="B568" s="1290"/>
      <c r="C568" s="1290"/>
      <c r="G568" s="1290"/>
      <c r="H568" s="1290"/>
      <c r="I568" s="1290"/>
      <c r="J568" s="1290"/>
      <c r="K568" s="1290"/>
      <c r="L568" s="1290"/>
      <c r="M568" s="1290"/>
      <c r="N568" s="1290"/>
      <c r="O568" s="1290"/>
      <c r="P568" s="1290"/>
    </row>
    <row r="569" spans="1:16" s="1335" customFormat="1">
      <c r="A569" s="1334"/>
      <c r="B569" s="1290"/>
      <c r="C569" s="1290"/>
      <c r="G569" s="1290"/>
      <c r="H569" s="1290"/>
      <c r="I569" s="1290"/>
      <c r="J569" s="1290"/>
      <c r="K569" s="1290"/>
      <c r="L569" s="1290"/>
      <c r="M569" s="1290"/>
      <c r="N569" s="1290"/>
      <c r="O569" s="1290"/>
      <c r="P569" s="1290"/>
    </row>
    <row r="570" spans="1:16" s="1335" customFormat="1">
      <c r="A570" s="1334"/>
      <c r="B570" s="1290"/>
      <c r="C570" s="1290"/>
      <c r="G570" s="1290"/>
      <c r="H570" s="1290"/>
      <c r="I570" s="1290"/>
      <c r="J570" s="1290"/>
      <c r="K570" s="1290"/>
      <c r="L570" s="1290"/>
      <c r="M570" s="1290"/>
      <c r="N570" s="1290"/>
      <c r="O570" s="1290"/>
      <c r="P570" s="1290"/>
    </row>
    <row r="571" spans="1:16" s="1335" customFormat="1">
      <c r="A571" s="1334"/>
      <c r="B571" s="1290"/>
      <c r="C571" s="1290"/>
      <c r="G571" s="1290"/>
      <c r="H571" s="1290"/>
      <c r="I571" s="1290"/>
      <c r="J571" s="1290"/>
      <c r="K571" s="1290"/>
      <c r="L571" s="1290"/>
      <c r="M571" s="1290"/>
      <c r="N571" s="1290"/>
      <c r="O571" s="1290"/>
      <c r="P571" s="1290"/>
    </row>
    <row r="572" spans="1:16" s="1335" customFormat="1">
      <c r="A572" s="1334"/>
      <c r="B572" s="1290"/>
      <c r="C572" s="1290"/>
      <c r="G572" s="1290"/>
      <c r="H572" s="1290"/>
      <c r="I572" s="1290"/>
      <c r="J572" s="1290"/>
      <c r="K572" s="1290"/>
      <c r="L572" s="1290"/>
      <c r="M572" s="1290"/>
      <c r="N572" s="1290"/>
      <c r="O572" s="1290"/>
      <c r="P572" s="1290"/>
    </row>
    <row r="573" spans="1:16" s="1335" customFormat="1">
      <c r="A573" s="1334"/>
      <c r="B573" s="1290"/>
      <c r="C573" s="1290"/>
      <c r="G573" s="1290"/>
      <c r="H573" s="1290"/>
      <c r="I573" s="1290"/>
      <c r="J573" s="1290"/>
      <c r="K573" s="1290"/>
      <c r="L573" s="1290"/>
      <c r="M573" s="1290"/>
      <c r="N573" s="1290"/>
      <c r="O573" s="1290"/>
      <c r="P573" s="1290"/>
    </row>
    <row r="574" spans="1:16" s="1335" customFormat="1">
      <c r="A574" s="1334"/>
      <c r="B574" s="1290"/>
      <c r="C574" s="1290"/>
      <c r="G574" s="1290"/>
      <c r="H574" s="1290"/>
      <c r="I574" s="1290"/>
      <c r="J574" s="1290"/>
      <c r="K574" s="1290"/>
      <c r="L574" s="1290"/>
      <c r="M574" s="1290"/>
      <c r="N574" s="1290"/>
      <c r="O574" s="1290"/>
      <c r="P574" s="1290"/>
    </row>
    <row r="575" spans="1:16" s="1335" customFormat="1">
      <c r="A575" s="1334"/>
      <c r="B575" s="1290"/>
      <c r="C575" s="1290"/>
      <c r="G575" s="1290"/>
      <c r="H575" s="1290"/>
      <c r="I575" s="1290"/>
      <c r="J575" s="1290"/>
      <c r="K575" s="1290"/>
      <c r="L575" s="1290"/>
      <c r="M575" s="1290"/>
      <c r="N575" s="1290"/>
      <c r="O575" s="1290"/>
      <c r="P575" s="1290"/>
    </row>
    <row r="576" spans="1:16" s="1335" customFormat="1">
      <c r="A576" s="1334"/>
      <c r="B576" s="1290"/>
      <c r="C576" s="1290"/>
      <c r="G576" s="1290"/>
      <c r="H576" s="1290"/>
      <c r="I576" s="1290"/>
      <c r="J576" s="1290"/>
      <c r="K576" s="1290"/>
      <c r="L576" s="1290"/>
      <c r="M576" s="1290"/>
      <c r="N576" s="1290"/>
      <c r="O576" s="1290"/>
      <c r="P576" s="1290"/>
    </row>
    <row r="577" spans="1:16" s="1335" customFormat="1">
      <c r="A577" s="1334"/>
      <c r="B577" s="1290"/>
      <c r="C577" s="1290"/>
      <c r="G577" s="1290"/>
      <c r="H577" s="1290"/>
      <c r="I577" s="1290"/>
      <c r="J577" s="1290"/>
      <c r="K577" s="1290"/>
      <c r="L577" s="1290"/>
      <c r="M577" s="1290"/>
      <c r="N577" s="1290"/>
      <c r="O577" s="1290"/>
      <c r="P577" s="1290"/>
    </row>
    <row r="578" spans="1:16" s="1335" customFormat="1">
      <c r="A578" s="1334"/>
      <c r="B578" s="1290"/>
      <c r="C578" s="1290"/>
      <c r="G578" s="1290"/>
      <c r="H578" s="1290"/>
      <c r="I578" s="1290"/>
      <c r="J578" s="1290"/>
      <c r="K578" s="1290"/>
      <c r="L578" s="1290"/>
      <c r="M578" s="1290"/>
      <c r="N578" s="1290"/>
      <c r="O578" s="1290"/>
      <c r="P578" s="1290"/>
    </row>
    <row r="579" spans="1:16" s="1335" customFormat="1">
      <c r="A579" s="1334"/>
      <c r="B579" s="1290"/>
      <c r="C579" s="1290"/>
      <c r="G579" s="1290"/>
      <c r="H579" s="1290"/>
      <c r="I579" s="1290"/>
      <c r="J579" s="1290"/>
      <c r="K579" s="1290"/>
      <c r="L579" s="1290"/>
      <c r="M579" s="1290"/>
      <c r="N579" s="1290"/>
      <c r="O579" s="1290"/>
      <c r="P579" s="1290"/>
    </row>
    <row r="580" spans="1:16" s="1335" customFormat="1">
      <c r="A580" s="1334"/>
      <c r="B580" s="1290"/>
      <c r="C580" s="1290"/>
      <c r="G580" s="1290"/>
      <c r="H580" s="1290"/>
      <c r="I580" s="1290"/>
      <c r="J580" s="1290"/>
      <c r="K580" s="1290"/>
      <c r="L580" s="1290"/>
      <c r="M580" s="1290"/>
      <c r="N580" s="1290"/>
      <c r="O580" s="1290"/>
      <c r="P580" s="1290"/>
    </row>
    <row r="581" spans="1:16" s="1335" customFormat="1">
      <c r="A581" s="1334"/>
      <c r="B581" s="1290"/>
      <c r="C581" s="1290"/>
      <c r="G581" s="1290"/>
      <c r="H581" s="1290"/>
      <c r="I581" s="1290"/>
      <c r="J581" s="1290"/>
      <c r="K581" s="1290"/>
      <c r="L581" s="1290"/>
      <c r="M581" s="1290"/>
      <c r="N581" s="1290"/>
      <c r="O581" s="1290"/>
      <c r="P581" s="1290"/>
    </row>
    <row r="582" spans="1:16" s="1335" customFormat="1">
      <c r="A582" s="1334"/>
      <c r="B582" s="1290"/>
      <c r="C582" s="1290"/>
      <c r="G582" s="1290"/>
      <c r="H582" s="1290"/>
      <c r="I582" s="1290"/>
      <c r="J582" s="1290"/>
      <c r="K582" s="1290"/>
      <c r="L582" s="1290"/>
      <c r="M582" s="1290"/>
      <c r="N582" s="1290"/>
      <c r="O582" s="1290"/>
      <c r="P582" s="1290"/>
    </row>
    <row r="583" spans="1:16" s="1335" customFormat="1">
      <c r="A583" s="1334"/>
      <c r="B583" s="1290"/>
      <c r="C583" s="1290"/>
      <c r="G583" s="1290"/>
      <c r="H583" s="1290"/>
      <c r="I583" s="1290"/>
      <c r="J583" s="1290"/>
      <c r="K583" s="1290"/>
      <c r="L583" s="1290"/>
      <c r="M583" s="1290"/>
      <c r="N583" s="1290"/>
      <c r="O583" s="1290"/>
      <c r="P583" s="1290"/>
    </row>
    <row r="584" spans="1:16" s="1335" customFormat="1">
      <c r="A584" s="1334"/>
      <c r="B584" s="1290"/>
      <c r="C584" s="1290"/>
      <c r="G584" s="1290"/>
      <c r="H584" s="1290"/>
      <c r="I584" s="1290"/>
      <c r="J584" s="1290"/>
      <c r="K584" s="1290"/>
      <c r="L584" s="1290"/>
      <c r="M584" s="1290"/>
      <c r="N584" s="1290"/>
      <c r="O584" s="1290"/>
      <c r="P584" s="1290"/>
    </row>
    <row r="585" spans="1:16" s="1335" customFormat="1">
      <c r="A585" s="1334"/>
      <c r="B585" s="1290"/>
      <c r="C585" s="1290"/>
      <c r="G585" s="1290"/>
      <c r="H585" s="1290"/>
      <c r="I585" s="1290"/>
      <c r="J585" s="1290"/>
      <c r="K585" s="1290"/>
      <c r="L585" s="1290"/>
      <c r="M585" s="1290"/>
      <c r="N585" s="1290"/>
      <c r="O585" s="1290"/>
      <c r="P585" s="1290"/>
    </row>
    <row r="586" spans="1:16" s="1335" customFormat="1">
      <c r="A586" s="1334"/>
      <c r="B586" s="1290"/>
      <c r="C586" s="1290"/>
      <c r="G586" s="1290"/>
      <c r="H586" s="1290"/>
      <c r="I586" s="1290"/>
      <c r="J586" s="1290"/>
      <c r="K586" s="1290"/>
      <c r="L586" s="1290"/>
      <c r="M586" s="1290"/>
      <c r="N586" s="1290"/>
      <c r="O586" s="1290"/>
      <c r="P586" s="1290"/>
    </row>
    <row r="587" spans="1:16" s="1335" customFormat="1">
      <c r="A587" s="1334"/>
      <c r="B587" s="1290"/>
      <c r="C587" s="1290"/>
      <c r="G587" s="1290"/>
      <c r="H587" s="1290"/>
      <c r="I587" s="1290"/>
      <c r="J587" s="1290"/>
      <c r="K587" s="1290"/>
      <c r="L587" s="1290"/>
      <c r="M587" s="1290"/>
      <c r="N587" s="1290"/>
      <c r="O587" s="1290"/>
      <c r="P587" s="1290"/>
    </row>
    <row r="588" spans="1:16" s="1335" customFormat="1">
      <c r="A588" s="1334"/>
      <c r="B588" s="1290"/>
      <c r="C588" s="1290"/>
      <c r="G588" s="1290"/>
      <c r="H588" s="1290"/>
      <c r="I588" s="1290"/>
      <c r="J588" s="1290"/>
      <c r="K588" s="1290"/>
      <c r="L588" s="1290"/>
      <c r="M588" s="1290"/>
      <c r="N588" s="1290"/>
      <c r="O588" s="1290"/>
      <c r="P588" s="1290"/>
    </row>
    <row r="589" spans="1:16" s="1335" customFormat="1">
      <c r="A589" s="1334"/>
      <c r="B589" s="1290"/>
      <c r="C589" s="1290"/>
      <c r="G589" s="1290"/>
      <c r="H589" s="1290"/>
      <c r="I589" s="1290"/>
      <c r="J589" s="1290"/>
      <c r="K589" s="1290"/>
      <c r="L589" s="1290"/>
      <c r="M589" s="1290"/>
      <c r="N589" s="1290"/>
      <c r="O589" s="1290"/>
      <c r="P589" s="1290"/>
    </row>
    <row r="590" spans="1:16" s="1335" customFormat="1">
      <c r="A590" s="1334"/>
      <c r="B590" s="1290"/>
      <c r="C590" s="1290"/>
      <c r="G590" s="1290"/>
      <c r="H590" s="1290"/>
      <c r="I590" s="1290"/>
      <c r="J590" s="1290"/>
      <c r="K590" s="1290"/>
      <c r="L590" s="1290"/>
      <c r="M590" s="1290"/>
      <c r="N590" s="1290"/>
      <c r="O590" s="1290"/>
      <c r="P590" s="1290"/>
    </row>
    <row r="591" spans="1:16" s="1335" customFormat="1">
      <c r="A591" s="1334"/>
      <c r="B591" s="1290"/>
      <c r="C591" s="1290"/>
      <c r="G591" s="1290"/>
      <c r="H591" s="1290"/>
      <c r="I591" s="1290"/>
      <c r="J591" s="1290"/>
      <c r="K591" s="1290"/>
      <c r="L591" s="1290"/>
      <c r="M591" s="1290"/>
      <c r="N591" s="1290"/>
      <c r="O591" s="1290"/>
      <c r="P591" s="1290"/>
    </row>
    <row r="592" spans="1:16" s="1335" customFormat="1">
      <c r="A592" s="1334"/>
      <c r="B592" s="1290"/>
      <c r="C592" s="1290"/>
      <c r="G592" s="1290"/>
      <c r="H592" s="1290"/>
      <c r="I592" s="1290"/>
      <c r="J592" s="1290"/>
      <c r="K592" s="1290"/>
      <c r="L592" s="1290"/>
      <c r="M592" s="1290"/>
      <c r="N592" s="1290"/>
      <c r="O592" s="1290"/>
      <c r="P592" s="1290"/>
    </row>
    <row r="593" spans="1:16" s="1335" customFormat="1">
      <c r="A593" s="1334"/>
      <c r="B593" s="1290"/>
      <c r="C593" s="1290"/>
      <c r="G593" s="1290"/>
      <c r="H593" s="1290"/>
      <c r="I593" s="1290"/>
      <c r="J593" s="1290"/>
      <c r="K593" s="1290"/>
      <c r="L593" s="1290"/>
      <c r="M593" s="1290"/>
      <c r="N593" s="1290"/>
      <c r="O593" s="1290"/>
      <c r="P593" s="1290"/>
    </row>
    <row r="594" spans="1:16" s="1335" customFormat="1">
      <c r="A594" s="1334"/>
      <c r="B594" s="1290"/>
      <c r="C594" s="1290"/>
      <c r="G594" s="1290"/>
      <c r="H594" s="1290"/>
      <c r="I594" s="1290"/>
      <c r="J594" s="1290"/>
      <c r="K594" s="1290"/>
      <c r="L594" s="1290"/>
      <c r="M594" s="1290"/>
      <c r="N594" s="1290"/>
      <c r="O594" s="1290"/>
      <c r="P594" s="1290"/>
    </row>
    <row r="595" spans="1:16" s="1335" customFormat="1">
      <c r="A595" s="1334"/>
      <c r="B595" s="1290"/>
      <c r="C595" s="1290"/>
      <c r="G595" s="1290"/>
      <c r="H595" s="1290"/>
      <c r="I595" s="1290"/>
      <c r="J595" s="1290"/>
      <c r="K595" s="1290"/>
      <c r="L595" s="1290"/>
      <c r="M595" s="1290"/>
      <c r="N595" s="1290"/>
      <c r="O595" s="1290"/>
      <c r="P595" s="1290"/>
    </row>
    <row r="596" spans="1:16" s="1335" customFormat="1">
      <c r="A596" s="1334"/>
      <c r="B596" s="1290"/>
      <c r="C596" s="1290"/>
      <c r="G596" s="1290"/>
      <c r="H596" s="1290"/>
      <c r="I596" s="1290"/>
      <c r="J596" s="1290"/>
      <c r="K596" s="1290"/>
      <c r="L596" s="1290"/>
      <c r="M596" s="1290"/>
      <c r="N596" s="1290"/>
      <c r="O596" s="1290"/>
      <c r="P596" s="1290"/>
    </row>
    <row r="597" spans="1:16" s="1335" customFormat="1">
      <c r="A597" s="1334"/>
      <c r="B597" s="1290"/>
      <c r="C597" s="1290"/>
      <c r="G597" s="1290"/>
      <c r="H597" s="1290"/>
      <c r="I597" s="1290"/>
      <c r="J597" s="1290"/>
      <c r="K597" s="1290"/>
      <c r="L597" s="1290"/>
      <c r="M597" s="1290"/>
      <c r="N597" s="1290"/>
      <c r="O597" s="1290"/>
      <c r="P597" s="1290"/>
    </row>
    <row r="598" spans="1:16" s="1335" customFormat="1">
      <c r="A598" s="1334"/>
      <c r="B598" s="1290"/>
      <c r="C598" s="1290"/>
      <c r="G598" s="1290"/>
      <c r="H598" s="1290"/>
      <c r="I598" s="1290"/>
      <c r="J598" s="1290"/>
      <c r="K598" s="1290"/>
      <c r="L598" s="1290"/>
      <c r="M598" s="1290"/>
      <c r="N598" s="1290"/>
      <c r="O598" s="1290"/>
      <c r="P598" s="1290"/>
    </row>
    <row r="599" spans="1:16" s="1335" customFormat="1">
      <c r="A599" s="1334"/>
      <c r="B599" s="1290"/>
      <c r="C599" s="1290"/>
      <c r="G599" s="1290"/>
      <c r="H599" s="1290"/>
      <c r="I599" s="1290"/>
      <c r="J599" s="1290"/>
      <c r="K599" s="1290"/>
      <c r="L599" s="1290"/>
      <c r="M599" s="1290"/>
      <c r="N599" s="1290"/>
      <c r="O599" s="1290"/>
      <c r="P599" s="1290"/>
    </row>
    <row r="600" spans="1:16" s="1335" customFormat="1">
      <c r="A600" s="1334"/>
      <c r="B600" s="1290"/>
      <c r="C600" s="1290"/>
      <c r="G600" s="1290"/>
      <c r="H600" s="1290"/>
      <c r="I600" s="1290"/>
      <c r="J600" s="1290"/>
      <c r="K600" s="1290"/>
      <c r="L600" s="1290"/>
      <c r="M600" s="1290"/>
      <c r="N600" s="1290"/>
      <c r="O600" s="1290"/>
      <c r="P600" s="1290"/>
    </row>
    <row r="601" spans="1:16" s="1335" customFormat="1">
      <c r="A601" s="1334"/>
      <c r="B601" s="1290"/>
      <c r="C601" s="1290"/>
      <c r="G601" s="1290"/>
      <c r="H601" s="1290"/>
      <c r="I601" s="1290"/>
      <c r="J601" s="1290"/>
      <c r="K601" s="1290"/>
      <c r="L601" s="1290"/>
      <c r="M601" s="1290"/>
      <c r="N601" s="1290"/>
      <c r="O601" s="1290"/>
      <c r="P601" s="1290"/>
    </row>
    <row r="602" spans="1:16" s="1335" customFormat="1">
      <c r="A602" s="1334"/>
      <c r="B602" s="1290"/>
      <c r="C602" s="1290"/>
      <c r="G602" s="1290"/>
      <c r="H602" s="1290"/>
      <c r="I602" s="1290"/>
      <c r="J602" s="1290"/>
      <c r="K602" s="1290"/>
      <c r="L602" s="1290"/>
      <c r="M602" s="1290"/>
      <c r="N602" s="1290"/>
      <c r="O602" s="1290"/>
      <c r="P602" s="1290"/>
    </row>
    <row r="603" spans="1:16" s="1335" customFormat="1">
      <c r="A603" s="1334"/>
      <c r="B603" s="1290"/>
      <c r="C603" s="1290"/>
      <c r="G603" s="1290"/>
      <c r="H603" s="1290"/>
      <c r="I603" s="1290"/>
      <c r="J603" s="1290"/>
      <c r="K603" s="1290"/>
      <c r="L603" s="1290"/>
      <c r="M603" s="1290"/>
      <c r="N603" s="1290"/>
      <c r="O603" s="1290"/>
      <c r="P603" s="1290"/>
    </row>
    <row r="604" spans="1:16" s="1335" customFormat="1">
      <c r="A604" s="1334"/>
      <c r="B604" s="1290"/>
      <c r="C604" s="1290"/>
      <c r="G604" s="1290"/>
      <c r="H604" s="1290"/>
      <c r="I604" s="1290"/>
      <c r="J604" s="1290"/>
      <c r="K604" s="1290"/>
      <c r="L604" s="1290"/>
      <c r="M604" s="1290"/>
      <c r="N604" s="1290"/>
      <c r="O604" s="1290"/>
      <c r="P604" s="1290"/>
    </row>
    <row r="605" spans="1:16" s="1335" customFormat="1">
      <c r="A605" s="1334"/>
      <c r="B605" s="1290"/>
      <c r="C605" s="1290"/>
      <c r="G605" s="1290"/>
      <c r="H605" s="1290"/>
      <c r="I605" s="1290"/>
      <c r="J605" s="1290"/>
      <c r="K605" s="1290"/>
      <c r="L605" s="1290"/>
      <c r="M605" s="1290"/>
      <c r="N605" s="1290"/>
      <c r="O605" s="1290"/>
      <c r="P605" s="1290"/>
    </row>
    <row r="606" spans="1:16" s="1335" customFormat="1">
      <c r="A606" s="1334"/>
      <c r="B606" s="1290"/>
      <c r="C606" s="1290"/>
      <c r="G606" s="1290"/>
      <c r="H606" s="1290"/>
      <c r="I606" s="1290"/>
      <c r="J606" s="1290"/>
      <c r="K606" s="1290"/>
      <c r="L606" s="1290"/>
      <c r="M606" s="1290"/>
      <c r="N606" s="1290"/>
      <c r="O606" s="1290"/>
      <c r="P606" s="1290"/>
    </row>
    <row r="607" spans="1:16" s="1335" customFormat="1">
      <c r="A607" s="1334"/>
      <c r="B607" s="1290"/>
      <c r="C607" s="1290"/>
      <c r="G607" s="1290"/>
      <c r="H607" s="1290"/>
      <c r="I607" s="1290"/>
      <c r="J607" s="1290"/>
      <c r="K607" s="1290"/>
      <c r="L607" s="1290"/>
      <c r="M607" s="1290"/>
      <c r="N607" s="1290"/>
      <c r="O607" s="1290"/>
      <c r="P607" s="1290"/>
    </row>
    <row r="608" spans="1:16" s="1335" customFormat="1">
      <c r="A608" s="1334"/>
      <c r="B608" s="1290"/>
      <c r="C608" s="1290"/>
      <c r="G608" s="1290"/>
      <c r="H608" s="1290"/>
      <c r="I608" s="1290"/>
      <c r="J608" s="1290"/>
      <c r="K608" s="1290"/>
      <c r="L608" s="1290"/>
      <c r="M608" s="1290"/>
      <c r="N608" s="1290"/>
      <c r="O608" s="1290"/>
      <c r="P608" s="1290"/>
    </row>
    <row r="609" spans="1:16" s="1335" customFormat="1">
      <c r="A609" s="1334"/>
      <c r="B609" s="1290"/>
      <c r="C609" s="1290"/>
      <c r="G609" s="1290"/>
      <c r="H609" s="1290"/>
      <c r="I609" s="1290"/>
      <c r="J609" s="1290"/>
      <c r="K609" s="1290"/>
      <c r="L609" s="1290"/>
      <c r="M609" s="1290"/>
      <c r="N609" s="1290"/>
      <c r="O609" s="1290"/>
      <c r="P609" s="1290"/>
    </row>
    <row r="610" spans="1:16" s="1335" customFormat="1">
      <c r="A610" s="1334"/>
      <c r="B610" s="1290"/>
      <c r="C610" s="1290"/>
      <c r="G610" s="1290"/>
      <c r="H610" s="1290"/>
      <c r="I610" s="1290"/>
      <c r="J610" s="1290"/>
      <c r="K610" s="1290"/>
      <c r="L610" s="1290"/>
      <c r="M610" s="1290"/>
      <c r="N610" s="1290"/>
      <c r="O610" s="1290"/>
      <c r="P610" s="1290"/>
    </row>
    <row r="611" spans="1:16" s="1335" customFormat="1">
      <c r="A611" s="1334"/>
      <c r="B611" s="1290"/>
      <c r="C611" s="1290"/>
      <c r="G611" s="1290"/>
      <c r="H611" s="1290"/>
      <c r="I611" s="1290"/>
      <c r="J611" s="1290"/>
      <c r="K611" s="1290"/>
      <c r="L611" s="1290"/>
      <c r="M611" s="1290"/>
      <c r="N611" s="1290"/>
      <c r="O611" s="1290"/>
      <c r="P611" s="1290"/>
    </row>
    <row r="612" spans="1:16" s="1335" customFormat="1">
      <c r="A612" s="1334"/>
      <c r="B612" s="1290"/>
      <c r="C612" s="1290"/>
      <c r="G612" s="1290"/>
      <c r="H612" s="1290"/>
      <c r="I612" s="1290"/>
      <c r="J612" s="1290"/>
      <c r="K612" s="1290"/>
      <c r="L612" s="1290"/>
      <c r="M612" s="1290"/>
      <c r="N612" s="1290"/>
      <c r="O612" s="1290"/>
      <c r="P612" s="1290"/>
    </row>
    <row r="613" spans="1:16" s="1335" customFormat="1">
      <c r="A613" s="1334"/>
      <c r="B613" s="1290"/>
      <c r="C613" s="1290"/>
      <c r="G613" s="1290"/>
      <c r="H613" s="1290"/>
      <c r="I613" s="1290"/>
      <c r="J613" s="1290"/>
      <c r="K613" s="1290"/>
      <c r="L613" s="1290"/>
      <c r="M613" s="1290"/>
      <c r="N613" s="1290"/>
      <c r="O613" s="1290"/>
      <c r="P613" s="1290"/>
    </row>
    <row r="614" spans="1:16" s="1335" customFormat="1">
      <c r="A614" s="1334"/>
      <c r="B614" s="1290"/>
      <c r="C614" s="1290"/>
      <c r="G614" s="1290"/>
      <c r="H614" s="1290"/>
      <c r="I614" s="1290"/>
      <c r="J614" s="1290"/>
      <c r="K614" s="1290"/>
      <c r="L614" s="1290"/>
      <c r="M614" s="1290"/>
      <c r="N614" s="1290"/>
      <c r="O614" s="1290"/>
      <c r="P614" s="1290"/>
    </row>
    <row r="615" spans="1:16" s="1335" customFormat="1">
      <c r="A615" s="1334"/>
      <c r="B615" s="1290"/>
      <c r="C615" s="1290"/>
      <c r="G615" s="1290"/>
      <c r="H615" s="1290"/>
      <c r="I615" s="1290"/>
      <c r="J615" s="1290"/>
      <c r="K615" s="1290"/>
      <c r="L615" s="1290"/>
      <c r="M615" s="1290"/>
      <c r="N615" s="1290"/>
      <c r="O615" s="1290"/>
      <c r="P615" s="1290"/>
    </row>
    <row r="616" spans="1:16" s="1335" customFormat="1">
      <c r="A616" s="1334"/>
      <c r="B616" s="1290"/>
      <c r="C616" s="1290"/>
      <c r="G616" s="1290"/>
      <c r="H616" s="1290"/>
      <c r="I616" s="1290"/>
      <c r="J616" s="1290"/>
      <c r="K616" s="1290"/>
      <c r="L616" s="1290"/>
      <c r="M616" s="1290"/>
      <c r="N616" s="1290"/>
      <c r="O616" s="1290"/>
      <c r="P616" s="1290"/>
    </row>
    <row r="617" spans="1:16" s="1335" customFormat="1">
      <c r="A617" s="1334"/>
      <c r="B617" s="1290"/>
      <c r="C617" s="1290"/>
      <c r="G617" s="1290"/>
      <c r="H617" s="1290"/>
      <c r="I617" s="1290"/>
      <c r="J617" s="1290"/>
      <c r="K617" s="1290"/>
      <c r="L617" s="1290"/>
      <c r="M617" s="1290"/>
      <c r="N617" s="1290"/>
      <c r="O617" s="1290"/>
      <c r="P617" s="1290"/>
    </row>
    <row r="618" spans="1:16" s="1335" customFormat="1">
      <c r="A618" s="1334"/>
      <c r="B618" s="1290"/>
      <c r="C618" s="1290"/>
      <c r="G618" s="1290"/>
      <c r="H618" s="1290"/>
      <c r="I618" s="1290"/>
      <c r="J618" s="1290"/>
      <c r="K618" s="1290"/>
      <c r="L618" s="1290"/>
      <c r="M618" s="1290"/>
      <c r="N618" s="1290"/>
      <c r="O618" s="1290"/>
      <c r="P618" s="1290"/>
    </row>
    <row r="619" spans="1:16" s="1335" customFormat="1">
      <c r="A619" s="1334"/>
      <c r="B619" s="1290"/>
      <c r="C619" s="1290"/>
      <c r="G619" s="1290"/>
      <c r="H619" s="1290"/>
      <c r="I619" s="1290"/>
      <c r="J619" s="1290"/>
      <c r="K619" s="1290"/>
      <c r="L619" s="1290"/>
      <c r="M619" s="1290"/>
      <c r="N619" s="1290"/>
      <c r="O619" s="1290"/>
      <c r="P619" s="1290"/>
    </row>
    <row r="620" spans="1:16" s="1335" customFormat="1">
      <c r="A620" s="1334"/>
      <c r="B620" s="1290"/>
      <c r="C620" s="1290"/>
      <c r="G620" s="1290"/>
      <c r="H620" s="1290"/>
      <c r="I620" s="1290"/>
      <c r="J620" s="1290"/>
      <c r="K620" s="1290"/>
      <c r="L620" s="1290"/>
      <c r="M620" s="1290"/>
      <c r="N620" s="1290"/>
      <c r="O620" s="1290"/>
      <c r="P620" s="1290"/>
    </row>
    <row r="621" spans="1:16" s="1335" customFormat="1">
      <c r="A621" s="1334"/>
      <c r="B621" s="1290"/>
      <c r="C621" s="1290"/>
      <c r="G621" s="1290"/>
      <c r="H621" s="1290"/>
      <c r="I621" s="1290"/>
      <c r="J621" s="1290"/>
      <c r="K621" s="1290"/>
      <c r="L621" s="1290"/>
      <c r="M621" s="1290"/>
      <c r="N621" s="1290"/>
      <c r="O621" s="1290"/>
      <c r="P621" s="1290"/>
    </row>
    <row r="622" spans="1:16" s="1335" customFormat="1">
      <c r="A622" s="1334"/>
      <c r="B622" s="1290"/>
      <c r="C622" s="1290"/>
      <c r="G622" s="1290"/>
      <c r="H622" s="1290"/>
      <c r="I622" s="1290"/>
      <c r="J622" s="1290"/>
      <c r="K622" s="1290"/>
      <c r="L622" s="1290"/>
      <c r="M622" s="1290"/>
      <c r="N622" s="1290"/>
      <c r="O622" s="1290"/>
      <c r="P622" s="1290"/>
    </row>
    <row r="623" spans="1:16" s="1335" customFormat="1">
      <c r="A623" s="1334"/>
      <c r="B623" s="1290"/>
      <c r="C623" s="1290"/>
      <c r="G623" s="1290"/>
      <c r="H623" s="1290"/>
      <c r="I623" s="1290"/>
      <c r="J623" s="1290"/>
      <c r="K623" s="1290"/>
      <c r="L623" s="1290"/>
      <c r="M623" s="1290"/>
      <c r="N623" s="1290"/>
      <c r="O623" s="1290"/>
      <c r="P623" s="1290"/>
    </row>
    <row r="624" spans="1:16" s="1335" customFormat="1">
      <c r="A624" s="1334"/>
      <c r="B624" s="1290"/>
      <c r="C624" s="1290"/>
      <c r="G624" s="1290"/>
      <c r="H624" s="1290"/>
      <c r="I624" s="1290"/>
      <c r="J624" s="1290"/>
      <c r="K624" s="1290"/>
      <c r="L624" s="1290"/>
      <c r="M624" s="1290"/>
      <c r="N624" s="1290"/>
      <c r="O624" s="1290"/>
      <c r="P624" s="1290"/>
    </row>
    <row r="625" spans="1:16" s="1335" customFormat="1">
      <c r="A625" s="1334"/>
      <c r="B625" s="1290"/>
      <c r="C625" s="1290"/>
      <c r="G625" s="1290"/>
      <c r="H625" s="1290"/>
      <c r="I625" s="1290"/>
      <c r="J625" s="1290"/>
      <c r="K625" s="1290"/>
      <c r="L625" s="1290"/>
      <c r="M625" s="1290"/>
      <c r="N625" s="1290"/>
      <c r="O625" s="1290"/>
      <c r="P625" s="1290"/>
    </row>
    <row r="626" spans="1:16" s="1335" customFormat="1">
      <c r="A626" s="1334"/>
      <c r="B626" s="1290"/>
      <c r="C626" s="1290"/>
      <c r="G626" s="1290"/>
      <c r="H626" s="1290"/>
      <c r="I626" s="1290"/>
      <c r="J626" s="1290"/>
      <c r="K626" s="1290"/>
      <c r="L626" s="1290"/>
      <c r="M626" s="1290"/>
      <c r="N626" s="1290"/>
      <c r="O626" s="1290"/>
      <c r="P626" s="1290"/>
    </row>
    <row r="627" spans="1:16" s="1335" customFormat="1">
      <c r="A627" s="1334"/>
      <c r="B627" s="1290"/>
      <c r="C627" s="1290"/>
      <c r="G627" s="1290"/>
      <c r="H627" s="1290"/>
      <c r="I627" s="1290"/>
      <c r="J627" s="1290"/>
      <c r="K627" s="1290"/>
      <c r="L627" s="1290"/>
      <c r="M627" s="1290"/>
      <c r="N627" s="1290"/>
      <c r="O627" s="1290"/>
      <c r="P627" s="1290"/>
    </row>
    <row r="628" spans="1:16" s="1335" customFormat="1">
      <c r="A628" s="1334"/>
      <c r="B628" s="1290"/>
      <c r="C628" s="1290"/>
      <c r="G628" s="1290"/>
      <c r="H628" s="1290"/>
      <c r="I628" s="1290"/>
      <c r="J628" s="1290"/>
      <c r="K628" s="1290"/>
      <c r="L628" s="1290"/>
      <c r="M628" s="1290"/>
      <c r="N628" s="1290"/>
      <c r="O628" s="1290"/>
      <c r="P628" s="1290"/>
    </row>
    <row r="629" spans="1:16" s="1335" customFormat="1">
      <c r="A629" s="1334"/>
      <c r="B629" s="1290"/>
      <c r="C629" s="1290"/>
      <c r="G629" s="1290"/>
      <c r="H629" s="1290"/>
      <c r="I629" s="1290"/>
      <c r="J629" s="1290"/>
      <c r="K629" s="1290"/>
      <c r="L629" s="1290"/>
      <c r="M629" s="1290"/>
      <c r="N629" s="1290"/>
      <c r="O629" s="1290"/>
      <c r="P629" s="1290"/>
    </row>
    <row r="630" spans="1:16" s="1335" customFormat="1">
      <c r="A630" s="1334"/>
      <c r="B630" s="1290"/>
      <c r="C630" s="1290"/>
      <c r="G630" s="1290"/>
      <c r="H630" s="1290"/>
      <c r="I630" s="1290"/>
      <c r="J630" s="1290"/>
      <c r="K630" s="1290"/>
      <c r="L630" s="1290"/>
      <c r="M630" s="1290"/>
      <c r="N630" s="1290"/>
      <c r="O630" s="1290"/>
      <c r="P630" s="1290"/>
    </row>
    <row r="631" spans="1:16" s="1335" customFormat="1">
      <c r="A631" s="1334"/>
      <c r="B631" s="1290"/>
      <c r="C631" s="1290"/>
      <c r="G631" s="1290"/>
      <c r="H631" s="1290"/>
      <c r="I631" s="1290"/>
      <c r="J631" s="1290"/>
      <c r="K631" s="1290"/>
      <c r="L631" s="1290"/>
      <c r="M631" s="1290"/>
      <c r="N631" s="1290"/>
      <c r="O631" s="1290"/>
      <c r="P631" s="1290"/>
    </row>
    <row r="632" spans="1:16" s="1335" customFormat="1">
      <c r="A632" s="1334"/>
      <c r="B632" s="1290"/>
      <c r="C632" s="1290"/>
      <c r="G632" s="1290"/>
      <c r="H632" s="1290"/>
      <c r="I632" s="1290"/>
      <c r="J632" s="1290"/>
      <c r="K632" s="1290"/>
      <c r="L632" s="1290"/>
      <c r="M632" s="1290"/>
      <c r="N632" s="1290"/>
      <c r="O632" s="1290"/>
      <c r="P632" s="1290"/>
    </row>
    <row r="633" spans="1:16" s="1335" customFormat="1">
      <c r="A633" s="1334"/>
      <c r="B633" s="1290"/>
      <c r="C633" s="1290"/>
      <c r="G633" s="1290"/>
      <c r="H633" s="1290"/>
      <c r="I633" s="1290"/>
      <c r="J633" s="1290"/>
      <c r="K633" s="1290"/>
      <c r="L633" s="1290"/>
      <c r="M633" s="1290"/>
      <c r="N633" s="1290"/>
      <c r="O633" s="1290"/>
      <c r="P633" s="1290"/>
    </row>
    <row r="634" spans="1:16" s="1335" customFormat="1">
      <c r="A634" s="1334"/>
      <c r="B634" s="1290"/>
      <c r="C634" s="1290"/>
      <c r="G634" s="1290"/>
      <c r="H634" s="1290"/>
      <c r="I634" s="1290"/>
      <c r="J634" s="1290"/>
      <c r="K634" s="1290"/>
      <c r="L634" s="1290"/>
      <c r="M634" s="1290"/>
      <c r="N634" s="1290"/>
      <c r="O634" s="1290"/>
      <c r="P634" s="1290"/>
    </row>
    <row r="635" spans="1:16" s="1335" customFormat="1">
      <c r="A635" s="1334"/>
      <c r="B635" s="1290"/>
      <c r="C635" s="1290"/>
      <c r="G635" s="1290"/>
      <c r="H635" s="1290"/>
      <c r="I635" s="1290"/>
      <c r="J635" s="1290"/>
      <c r="K635" s="1290"/>
      <c r="L635" s="1290"/>
      <c r="M635" s="1290"/>
      <c r="N635" s="1290"/>
      <c r="O635" s="1290"/>
      <c r="P635" s="1290"/>
    </row>
    <row r="636" spans="1:16" s="1335" customFormat="1">
      <c r="A636" s="1334"/>
      <c r="B636" s="1290"/>
      <c r="C636" s="1290"/>
      <c r="G636" s="1290"/>
      <c r="H636" s="1290"/>
      <c r="I636" s="1290"/>
      <c r="J636" s="1290"/>
      <c r="K636" s="1290"/>
      <c r="L636" s="1290"/>
      <c r="M636" s="1290"/>
      <c r="N636" s="1290"/>
      <c r="O636" s="1290"/>
      <c r="P636" s="1290"/>
    </row>
    <row r="637" spans="1:16" s="1335" customFormat="1">
      <c r="A637" s="1334"/>
      <c r="B637" s="1290"/>
      <c r="C637" s="1290"/>
      <c r="G637" s="1290"/>
      <c r="H637" s="1290"/>
      <c r="I637" s="1290"/>
      <c r="J637" s="1290"/>
      <c r="K637" s="1290"/>
      <c r="L637" s="1290"/>
      <c r="M637" s="1290"/>
      <c r="N637" s="1290"/>
      <c r="O637" s="1290"/>
      <c r="P637" s="1290"/>
    </row>
    <row r="638" spans="1:16" s="1335" customFormat="1">
      <c r="A638" s="1334"/>
      <c r="B638" s="1290"/>
      <c r="C638" s="1290"/>
      <c r="G638" s="1290"/>
      <c r="H638" s="1290"/>
      <c r="I638" s="1290"/>
      <c r="J638" s="1290"/>
      <c r="K638" s="1290"/>
      <c r="L638" s="1290"/>
      <c r="M638" s="1290"/>
      <c r="N638" s="1290"/>
      <c r="O638" s="1290"/>
      <c r="P638" s="1290"/>
    </row>
    <row r="639" spans="1:16" s="1335" customFormat="1">
      <c r="A639" s="1334"/>
      <c r="B639" s="1290"/>
      <c r="C639" s="1290"/>
      <c r="G639" s="1290"/>
      <c r="H639" s="1290"/>
      <c r="I639" s="1290"/>
      <c r="J639" s="1290"/>
      <c r="K639" s="1290"/>
      <c r="L639" s="1290"/>
      <c r="M639" s="1290"/>
      <c r="N639" s="1290"/>
      <c r="O639" s="1290"/>
      <c r="P639" s="1290"/>
    </row>
    <row r="640" spans="1:16" s="1335" customFormat="1">
      <c r="A640" s="1334"/>
      <c r="B640" s="1290"/>
      <c r="C640" s="1290"/>
      <c r="G640" s="1290"/>
      <c r="H640" s="1290"/>
      <c r="I640" s="1290"/>
      <c r="J640" s="1290"/>
      <c r="K640" s="1290"/>
      <c r="L640" s="1290"/>
      <c r="M640" s="1290"/>
      <c r="N640" s="1290"/>
      <c r="O640" s="1290"/>
      <c r="P640" s="1290"/>
    </row>
    <row r="641" spans="1:16" s="1335" customFormat="1">
      <c r="A641" s="1334"/>
      <c r="B641" s="1290"/>
      <c r="C641" s="1290"/>
      <c r="G641" s="1290"/>
      <c r="H641" s="1290"/>
      <c r="I641" s="1290"/>
      <c r="J641" s="1290"/>
      <c r="K641" s="1290"/>
      <c r="L641" s="1290"/>
      <c r="M641" s="1290"/>
      <c r="N641" s="1290"/>
      <c r="O641" s="1290"/>
      <c r="P641" s="1290"/>
    </row>
    <row r="642" spans="1:16" s="1335" customFormat="1">
      <c r="A642" s="1334"/>
      <c r="B642" s="1290"/>
      <c r="C642" s="1290"/>
      <c r="G642" s="1290"/>
      <c r="H642" s="1290"/>
      <c r="I642" s="1290"/>
      <c r="J642" s="1290"/>
      <c r="K642" s="1290"/>
      <c r="L642" s="1290"/>
      <c r="M642" s="1290"/>
      <c r="N642" s="1290"/>
      <c r="O642" s="1290"/>
      <c r="P642" s="1290"/>
    </row>
    <row r="643" spans="1:16" s="1335" customFormat="1">
      <c r="A643" s="1334"/>
      <c r="B643" s="1290"/>
      <c r="C643" s="1290"/>
      <c r="G643" s="1290"/>
      <c r="H643" s="1290"/>
      <c r="I643" s="1290"/>
      <c r="J643" s="1290"/>
      <c r="K643" s="1290"/>
      <c r="L643" s="1290"/>
      <c r="M643" s="1290"/>
      <c r="N643" s="1290"/>
      <c r="O643" s="1290"/>
      <c r="P643" s="1290"/>
    </row>
    <row r="644" spans="1:16" s="1335" customFormat="1">
      <c r="A644" s="1334"/>
      <c r="B644" s="1290"/>
      <c r="C644" s="1290"/>
      <c r="G644" s="1290"/>
      <c r="H644" s="1290"/>
      <c r="I644" s="1290"/>
      <c r="J644" s="1290"/>
      <c r="K644" s="1290"/>
      <c r="L644" s="1290"/>
      <c r="M644" s="1290"/>
      <c r="N644" s="1290"/>
      <c r="O644" s="1290"/>
      <c r="P644" s="1290"/>
    </row>
    <row r="645" spans="1:16" s="1335" customFormat="1">
      <c r="A645" s="1334"/>
      <c r="B645" s="1290"/>
      <c r="C645" s="1290"/>
      <c r="G645" s="1290"/>
      <c r="H645" s="1290"/>
      <c r="I645" s="1290"/>
      <c r="J645" s="1290"/>
      <c r="K645" s="1290"/>
      <c r="L645" s="1290"/>
      <c r="M645" s="1290"/>
      <c r="N645" s="1290"/>
      <c r="O645" s="1290"/>
      <c r="P645" s="1290"/>
    </row>
    <row r="646" spans="1:16" s="1335" customFormat="1">
      <c r="A646" s="1334"/>
      <c r="B646" s="1290"/>
      <c r="C646" s="1290"/>
      <c r="G646" s="1290"/>
      <c r="H646" s="1290"/>
      <c r="I646" s="1290"/>
      <c r="J646" s="1290"/>
      <c r="K646" s="1290"/>
      <c r="L646" s="1290"/>
      <c r="M646" s="1290"/>
      <c r="N646" s="1290"/>
      <c r="O646" s="1290"/>
      <c r="P646" s="1290"/>
    </row>
    <row r="647" spans="1:16" s="1335" customFormat="1">
      <c r="A647" s="1334"/>
      <c r="B647" s="1290"/>
      <c r="C647" s="1290"/>
      <c r="G647" s="1290"/>
      <c r="H647" s="1290"/>
      <c r="I647" s="1290"/>
      <c r="J647" s="1290"/>
      <c r="K647" s="1290"/>
      <c r="L647" s="1290"/>
      <c r="M647" s="1290"/>
      <c r="N647" s="1290"/>
      <c r="O647" s="1290"/>
      <c r="P647" s="1290"/>
    </row>
    <row r="648" spans="1:16" s="1335" customFormat="1">
      <c r="A648" s="1334"/>
      <c r="B648" s="1290"/>
      <c r="C648" s="1290"/>
      <c r="G648" s="1290"/>
      <c r="H648" s="1290"/>
      <c r="I648" s="1290"/>
      <c r="J648" s="1290"/>
      <c r="K648" s="1290"/>
      <c r="L648" s="1290"/>
      <c r="M648" s="1290"/>
      <c r="N648" s="1290"/>
      <c r="O648" s="1290"/>
      <c r="P648" s="1290"/>
    </row>
    <row r="649" spans="1:16" s="1335" customFormat="1">
      <c r="A649" s="1334"/>
      <c r="B649" s="1290"/>
      <c r="C649" s="1290"/>
      <c r="G649" s="1290"/>
      <c r="H649" s="1290"/>
      <c r="I649" s="1290"/>
      <c r="J649" s="1290"/>
      <c r="K649" s="1290"/>
      <c r="L649" s="1290"/>
      <c r="M649" s="1290"/>
      <c r="N649" s="1290"/>
      <c r="O649" s="1290"/>
      <c r="P649" s="1290"/>
    </row>
    <row r="650" spans="1:16" s="1335" customFormat="1">
      <c r="A650" s="1334"/>
      <c r="B650" s="1290"/>
      <c r="C650" s="1290"/>
      <c r="G650" s="1290"/>
      <c r="H650" s="1290"/>
      <c r="I650" s="1290"/>
      <c r="J650" s="1290"/>
      <c r="K650" s="1290"/>
      <c r="L650" s="1290"/>
      <c r="M650" s="1290"/>
      <c r="N650" s="1290"/>
      <c r="O650" s="1290"/>
      <c r="P650" s="1290"/>
    </row>
    <row r="651" spans="1:16" s="1335" customFormat="1">
      <c r="A651" s="1334"/>
      <c r="B651" s="1290"/>
      <c r="C651" s="1290"/>
      <c r="G651" s="1290"/>
      <c r="H651" s="1290"/>
      <c r="I651" s="1290"/>
      <c r="J651" s="1290"/>
      <c r="K651" s="1290"/>
      <c r="L651" s="1290"/>
      <c r="M651" s="1290"/>
      <c r="N651" s="1290"/>
      <c r="O651" s="1290"/>
      <c r="P651" s="1290"/>
    </row>
    <row r="652" spans="1:16" s="1335" customFormat="1">
      <c r="A652" s="1334"/>
      <c r="B652" s="1290"/>
      <c r="C652" s="1290"/>
      <c r="G652" s="1290"/>
      <c r="H652" s="1290"/>
      <c r="I652" s="1290"/>
      <c r="J652" s="1290"/>
      <c r="K652" s="1290"/>
      <c r="L652" s="1290"/>
      <c r="M652" s="1290"/>
      <c r="N652" s="1290"/>
      <c r="O652" s="1290"/>
      <c r="P652" s="1290"/>
    </row>
    <row r="653" spans="1:16" s="1335" customFormat="1">
      <c r="A653" s="1334"/>
      <c r="B653" s="1290"/>
      <c r="C653" s="1290"/>
      <c r="G653" s="1290"/>
      <c r="H653" s="1290"/>
      <c r="I653" s="1290"/>
      <c r="J653" s="1290"/>
      <c r="K653" s="1290"/>
      <c r="L653" s="1290"/>
      <c r="M653" s="1290"/>
      <c r="N653" s="1290"/>
      <c r="O653" s="1290"/>
      <c r="P653" s="1290"/>
    </row>
    <row r="654" spans="1:16" s="1335" customFormat="1">
      <c r="A654" s="1334"/>
      <c r="B654" s="1290"/>
      <c r="C654" s="1290"/>
      <c r="G654" s="1290"/>
      <c r="H654" s="1290"/>
      <c r="I654" s="1290"/>
      <c r="J654" s="1290"/>
      <c r="K654" s="1290"/>
      <c r="L654" s="1290"/>
      <c r="M654" s="1290"/>
      <c r="N654" s="1290"/>
      <c r="O654" s="1290"/>
      <c r="P654" s="1290"/>
    </row>
    <row r="655" spans="1:16" s="1335" customFormat="1">
      <c r="A655" s="1334"/>
      <c r="B655" s="1290"/>
      <c r="C655" s="1290"/>
      <c r="G655" s="1290"/>
      <c r="H655" s="1290"/>
      <c r="I655" s="1290"/>
      <c r="J655" s="1290"/>
      <c r="K655" s="1290"/>
      <c r="L655" s="1290"/>
      <c r="M655" s="1290"/>
      <c r="N655" s="1290"/>
      <c r="O655" s="1290"/>
      <c r="P655" s="1290"/>
    </row>
    <row r="656" spans="1:16" s="1335" customFormat="1">
      <c r="A656" s="1334"/>
      <c r="B656" s="1290"/>
      <c r="C656" s="1290"/>
      <c r="G656" s="1290"/>
      <c r="H656" s="1290"/>
      <c r="I656" s="1290"/>
      <c r="J656" s="1290"/>
      <c r="K656" s="1290"/>
      <c r="L656" s="1290"/>
      <c r="M656" s="1290"/>
      <c r="N656" s="1290"/>
      <c r="O656" s="1290"/>
      <c r="P656" s="1290"/>
    </row>
    <row r="657" spans="1:16" s="1335" customFormat="1">
      <c r="A657" s="1334"/>
      <c r="B657" s="1290"/>
      <c r="C657" s="1290"/>
      <c r="G657" s="1290"/>
      <c r="H657" s="1290"/>
      <c r="I657" s="1290"/>
      <c r="J657" s="1290"/>
      <c r="K657" s="1290"/>
      <c r="L657" s="1290"/>
      <c r="M657" s="1290"/>
      <c r="N657" s="1290"/>
      <c r="O657" s="1290"/>
      <c r="P657" s="1290"/>
    </row>
    <row r="658" spans="1:16" s="1335" customFormat="1">
      <c r="A658" s="1334"/>
      <c r="B658" s="1290"/>
      <c r="C658" s="1290"/>
      <c r="G658" s="1290"/>
      <c r="H658" s="1290"/>
      <c r="I658" s="1290"/>
      <c r="J658" s="1290"/>
      <c r="K658" s="1290"/>
      <c r="L658" s="1290"/>
      <c r="M658" s="1290"/>
      <c r="N658" s="1290"/>
      <c r="O658" s="1290"/>
      <c r="P658" s="1290"/>
    </row>
    <row r="659" spans="1:16" s="1335" customFormat="1">
      <c r="A659" s="1334"/>
      <c r="B659" s="1290"/>
      <c r="C659" s="1290"/>
      <c r="G659" s="1290"/>
      <c r="H659" s="1290"/>
      <c r="I659" s="1290"/>
      <c r="J659" s="1290"/>
      <c r="K659" s="1290"/>
      <c r="L659" s="1290"/>
      <c r="M659" s="1290"/>
      <c r="N659" s="1290"/>
      <c r="O659" s="1290"/>
      <c r="P659" s="1290"/>
    </row>
    <row r="660" spans="1:16" s="1335" customFormat="1">
      <c r="A660" s="1334"/>
      <c r="B660" s="1290"/>
      <c r="C660" s="1290"/>
      <c r="G660" s="1290"/>
      <c r="H660" s="1290"/>
      <c r="I660" s="1290"/>
      <c r="J660" s="1290"/>
      <c r="K660" s="1290"/>
      <c r="L660" s="1290"/>
      <c r="M660" s="1290"/>
      <c r="N660" s="1290"/>
      <c r="O660" s="1290"/>
      <c r="P660" s="1290"/>
    </row>
    <row r="661" spans="1:16" s="1335" customFormat="1">
      <c r="A661" s="1334"/>
      <c r="B661" s="1290"/>
      <c r="C661" s="1290"/>
      <c r="G661" s="1290"/>
      <c r="H661" s="1290"/>
      <c r="I661" s="1290"/>
      <c r="J661" s="1290"/>
      <c r="K661" s="1290"/>
      <c r="L661" s="1290"/>
      <c r="M661" s="1290"/>
      <c r="N661" s="1290"/>
      <c r="O661" s="1290"/>
      <c r="P661" s="1290"/>
    </row>
    <row r="662" spans="1:16" s="1335" customFormat="1">
      <c r="A662" s="1334"/>
      <c r="B662" s="1290"/>
      <c r="C662" s="1290"/>
      <c r="G662" s="1290"/>
      <c r="H662" s="1290"/>
      <c r="I662" s="1290"/>
      <c r="J662" s="1290"/>
      <c r="K662" s="1290"/>
      <c r="L662" s="1290"/>
      <c r="M662" s="1290"/>
      <c r="N662" s="1290"/>
      <c r="O662" s="1290"/>
      <c r="P662" s="1290"/>
    </row>
    <row r="663" spans="1:16" s="1335" customFormat="1">
      <c r="A663" s="1334"/>
      <c r="B663" s="1290"/>
      <c r="C663" s="1290"/>
      <c r="G663" s="1290"/>
      <c r="H663" s="1290"/>
      <c r="I663" s="1290"/>
      <c r="J663" s="1290"/>
      <c r="K663" s="1290"/>
      <c r="L663" s="1290"/>
      <c r="M663" s="1290"/>
      <c r="N663" s="1290"/>
      <c r="O663" s="1290"/>
      <c r="P663" s="1290"/>
    </row>
    <row r="664" spans="1:16" s="1335" customFormat="1">
      <c r="A664" s="1334"/>
      <c r="B664" s="1290"/>
      <c r="C664" s="1290"/>
      <c r="G664" s="1290"/>
      <c r="H664" s="1290"/>
      <c r="I664" s="1290"/>
      <c r="J664" s="1290"/>
      <c r="K664" s="1290"/>
      <c r="L664" s="1290"/>
      <c r="M664" s="1290"/>
      <c r="N664" s="1290"/>
      <c r="O664" s="1290"/>
      <c r="P664" s="1290"/>
    </row>
    <row r="665" spans="1:16" s="1335" customFormat="1">
      <c r="A665" s="1334"/>
      <c r="B665" s="1290"/>
      <c r="C665" s="1290"/>
      <c r="G665" s="1290"/>
      <c r="H665" s="1290"/>
      <c r="I665" s="1290"/>
      <c r="J665" s="1290"/>
      <c r="K665" s="1290"/>
      <c r="L665" s="1290"/>
      <c r="M665" s="1290"/>
      <c r="N665" s="1290"/>
      <c r="O665" s="1290"/>
      <c r="P665" s="1290"/>
    </row>
    <row r="666" spans="1:16" s="1335" customFormat="1">
      <c r="A666" s="1334"/>
      <c r="B666" s="1290"/>
      <c r="C666" s="1290"/>
      <c r="G666" s="1290"/>
      <c r="H666" s="1290"/>
      <c r="I666" s="1290"/>
      <c r="J666" s="1290"/>
      <c r="K666" s="1290"/>
      <c r="L666" s="1290"/>
      <c r="M666" s="1290"/>
      <c r="N666" s="1290"/>
      <c r="O666" s="1290"/>
      <c r="P666" s="1290"/>
    </row>
    <row r="667" spans="1:16" s="1335" customFormat="1">
      <c r="A667" s="1334"/>
      <c r="B667" s="1290"/>
      <c r="C667" s="1290"/>
      <c r="G667" s="1290"/>
      <c r="H667" s="1290"/>
      <c r="I667" s="1290"/>
      <c r="J667" s="1290"/>
      <c r="K667" s="1290"/>
      <c r="L667" s="1290"/>
      <c r="M667" s="1290"/>
      <c r="N667" s="1290"/>
      <c r="O667" s="1290"/>
      <c r="P667" s="1290"/>
    </row>
    <row r="668" spans="1:16" s="1335" customFormat="1">
      <c r="A668" s="1334"/>
      <c r="B668" s="1290"/>
      <c r="C668" s="1290"/>
      <c r="G668" s="1290"/>
      <c r="H668" s="1290"/>
      <c r="I668" s="1290"/>
      <c r="J668" s="1290"/>
      <c r="K668" s="1290"/>
      <c r="L668" s="1290"/>
      <c r="M668" s="1290"/>
      <c r="N668" s="1290"/>
      <c r="O668" s="1290"/>
      <c r="P668" s="1290"/>
    </row>
    <row r="669" spans="1:16" s="1335" customFormat="1">
      <c r="A669" s="1334"/>
      <c r="B669" s="1290"/>
      <c r="C669" s="1290"/>
      <c r="G669" s="1290"/>
      <c r="H669" s="1290"/>
      <c r="I669" s="1290"/>
      <c r="J669" s="1290"/>
      <c r="K669" s="1290"/>
      <c r="L669" s="1290"/>
      <c r="M669" s="1290"/>
      <c r="N669" s="1290"/>
      <c r="O669" s="1290"/>
      <c r="P669" s="1290"/>
    </row>
    <row r="670" spans="1:16" s="1335" customFormat="1">
      <c r="A670" s="1334"/>
      <c r="B670" s="1290"/>
      <c r="C670" s="1290"/>
      <c r="G670" s="1290"/>
      <c r="H670" s="1290"/>
      <c r="I670" s="1290"/>
      <c r="J670" s="1290"/>
      <c r="K670" s="1290"/>
      <c r="L670" s="1290"/>
      <c r="M670" s="1290"/>
      <c r="N670" s="1290"/>
      <c r="O670" s="1290"/>
      <c r="P670" s="1290"/>
    </row>
    <row r="671" spans="1:16" s="1335" customFormat="1">
      <c r="A671" s="1334"/>
      <c r="B671" s="1290"/>
      <c r="C671" s="1290"/>
      <c r="G671" s="1290"/>
      <c r="H671" s="1290"/>
      <c r="I671" s="1290"/>
      <c r="J671" s="1290"/>
      <c r="K671" s="1290"/>
      <c r="L671" s="1290"/>
      <c r="M671" s="1290"/>
      <c r="N671" s="1290"/>
      <c r="O671" s="1290"/>
      <c r="P671" s="1290"/>
    </row>
    <row r="672" spans="1:16" s="1335" customFormat="1">
      <c r="A672" s="1334"/>
      <c r="B672" s="1290"/>
      <c r="C672" s="1290"/>
      <c r="G672" s="1290"/>
      <c r="H672" s="1290"/>
      <c r="I672" s="1290"/>
      <c r="J672" s="1290"/>
      <c r="K672" s="1290"/>
      <c r="L672" s="1290"/>
      <c r="M672" s="1290"/>
      <c r="N672" s="1290"/>
      <c r="O672" s="1290"/>
      <c r="P672" s="1290"/>
    </row>
    <row r="673" spans="1:16" s="1335" customFormat="1">
      <c r="A673" s="1334"/>
      <c r="B673" s="1290"/>
      <c r="C673" s="1290"/>
      <c r="G673" s="1290"/>
      <c r="H673" s="1290"/>
      <c r="I673" s="1290"/>
      <c r="J673" s="1290"/>
      <c r="K673" s="1290"/>
      <c r="L673" s="1290"/>
      <c r="M673" s="1290"/>
      <c r="N673" s="1290"/>
      <c r="O673" s="1290"/>
      <c r="P673" s="1290"/>
    </row>
    <row r="674" spans="1:16" s="1335" customFormat="1">
      <c r="A674" s="1334"/>
      <c r="B674" s="1290"/>
      <c r="C674" s="1290"/>
      <c r="G674" s="1290"/>
      <c r="H674" s="1290"/>
      <c r="I674" s="1290"/>
      <c r="J674" s="1290"/>
      <c r="K674" s="1290"/>
      <c r="L674" s="1290"/>
      <c r="M674" s="1290"/>
      <c r="N674" s="1290"/>
      <c r="O674" s="1290"/>
      <c r="P674" s="1290"/>
    </row>
    <row r="675" spans="1:16" s="1335" customFormat="1">
      <c r="A675" s="1334"/>
      <c r="B675" s="1290"/>
      <c r="C675" s="1290"/>
      <c r="G675" s="1290"/>
      <c r="H675" s="1290"/>
      <c r="I675" s="1290"/>
      <c r="J675" s="1290"/>
      <c r="K675" s="1290"/>
      <c r="L675" s="1290"/>
      <c r="M675" s="1290"/>
      <c r="N675" s="1290"/>
      <c r="O675" s="1290"/>
      <c r="P675" s="1290"/>
    </row>
    <row r="676" spans="1:16" s="1335" customFormat="1">
      <c r="A676" s="1334"/>
      <c r="B676" s="1290"/>
      <c r="C676" s="1290"/>
      <c r="G676" s="1290"/>
      <c r="H676" s="1290"/>
      <c r="I676" s="1290"/>
      <c r="J676" s="1290"/>
      <c r="K676" s="1290"/>
      <c r="L676" s="1290"/>
      <c r="M676" s="1290"/>
      <c r="N676" s="1290"/>
      <c r="O676" s="1290"/>
      <c r="P676" s="1290"/>
    </row>
    <row r="677" spans="1:16" s="1335" customFormat="1">
      <c r="A677" s="1334"/>
      <c r="B677" s="1290"/>
      <c r="C677" s="1290"/>
      <c r="G677" s="1290"/>
      <c r="H677" s="1290"/>
      <c r="I677" s="1290"/>
      <c r="J677" s="1290"/>
      <c r="K677" s="1290"/>
      <c r="L677" s="1290"/>
      <c r="M677" s="1290"/>
      <c r="N677" s="1290"/>
      <c r="O677" s="1290"/>
      <c r="P677" s="1290"/>
    </row>
    <row r="678" spans="1:16" s="1335" customFormat="1">
      <c r="A678" s="1334"/>
      <c r="B678" s="1290"/>
      <c r="C678" s="1290"/>
      <c r="G678" s="1290"/>
      <c r="H678" s="1290"/>
      <c r="I678" s="1290"/>
      <c r="J678" s="1290"/>
      <c r="K678" s="1290"/>
      <c r="L678" s="1290"/>
      <c r="M678" s="1290"/>
      <c r="N678" s="1290"/>
      <c r="O678" s="1290"/>
      <c r="P678" s="1290"/>
    </row>
    <row r="679" spans="1:16" s="1335" customFormat="1">
      <c r="A679" s="1334"/>
      <c r="B679" s="1290"/>
      <c r="C679" s="1290"/>
      <c r="G679" s="1290"/>
      <c r="H679" s="1290"/>
      <c r="I679" s="1290"/>
      <c r="J679" s="1290"/>
      <c r="K679" s="1290"/>
      <c r="L679" s="1290"/>
      <c r="M679" s="1290"/>
      <c r="N679" s="1290"/>
      <c r="O679" s="1290"/>
      <c r="P679" s="1290"/>
    </row>
    <row r="680" spans="1:16" s="1335" customFormat="1">
      <c r="A680" s="1334"/>
      <c r="B680" s="1290"/>
      <c r="C680" s="1290"/>
      <c r="G680" s="1290"/>
      <c r="H680" s="1290"/>
      <c r="I680" s="1290"/>
      <c r="J680" s="1290"/>
      <c r="K680" s="1290"/>
      <c r="L680" s="1290"/>
      <c r="M680" s="1290"/>
      <c r="N680" s="1290"/>
      <c r="O680" s="1290"/>
      <c r="P680" s="1290"/>
    </row>
    <row r="681" spans="1:16" s="1335" customFormat="1">
      <c r="A681" s="1334"/>
      <c r="B681" s="1290"/>
      <c r="C681" s="1290"/>
      <c r="G681" s="1290"/>
      <c r="H681" s="1290"/>
      <c r="I681" s="1290"/>
      <c r="J681" s="1290"/>
      <c r="K681" s="1290"/>
      <c r="L681" s="1290"/>
      <c r="M681" s="1290"/>
      <c r="N681" s="1290"/>
      <c r="O681" s="1290"/>
      <c r="P681" s="1290"/>
    </row>
    <row r="682" spans="1:16" s="1335" customFormat="1">
      <c r="A682" s="1334"/>
      <c r="B682" s="1290"/>
      <c r="C682" s="1290"/>
      <c r="G682" s="1290"/>
      <c r="H682" s="1290"/>
      <c r="I682" s="1290"/>
      <c r="J682" s="1290"/>
      <c r="K682" s="1290"/>
      <c r="L682" s="1290"/>
      <c r="M682" s="1290"/>
      <c r="N682" s="1290"/>
      <c r="O682" s="1290"/>
      <c r="P682" s="1290"/>
    </row>
    <row r="683" spans="1:16" s="1335" customFormat="1">
      <c r="A683" s="1334"/>
      <c r="B683" s="1290"/>
      <c r="C683" s="1290"/>
      <c r="G683" s="1290"/>
      <c r="H683" s="1290"/>
      <c r="I683" s="1290"/>
      <c r="J683" s="1290"/>
      <c r="K683" s="1290"/>
      <c r="L683" s="1290"/>
      <c r="M683" s="1290"/>
      <c r="N683" s="1290"/>
      <c r="O683" s="1290"/>
      <c r="P683" s="1290"/>
    </row>
    <row r="684" spans="1:16" s="1335" customFormat="1">
      <c r="A684" s="1334"/>
      <c r="B684" s="1290"/>
      <c r="C684" s="1290"/>
      <c r="G684" s="1290"/>
      <c r="H684" s="1290"/>
      <c r="I684" s="1290"/>
      <c r="J684" s="1290"/>
      <c r="K684" s="1290"/>
      <c r="L684" s="1290"/>
      <c r="M684" s="1290"/>
      <c r="N684" s="1290"/>
      <c r="O684" s="1290"/>
      <c r="P684" s="1290"/>
    </row>
    <row r="685" spans="1:16" s="1335" customFormat="1">
      <c r="A685" s="1334"/>
      <c r="B685" s="1290"/>
      <c r="C685" s="1290"/>
      <c r="G685" s="1290"/>
      <c r="H685" s="1290"/>
      <c r="I685" s="1290"/>
      <c r="J685" s="1290"/>
      <c r="K685" s="1290"/>
      <c r="L685" s="1290"/>
      <c r="M685" s="1290"/>
      <c r="N685" s="1290"/>
      <c r="O685" s="1290"/>
      <c r="P685" s="1290"/>
    </row>
    <row r="686" spans="1:16" s="1335" customFormat="1">
      <c r="A686" s="1334"/>
      <c r="B686" s="1290"/>
      <c r="C686" s="1290"/>
      <c r="G686" s="1290"/>
      <c r="H686" s="1290"/>
      <c r="I686" s="1290"/>
      <c r="J686" s="1290"/>
      <c r="K686" s="1290"/>
      <c r="L686" s="1290"/>
      <c r="M686" s="1290"/>
      <c r="N686" s="1290"/>
      <c r="O686" s="1290"/>
      <c r="P686" s="1290"/>
    </row>
    <row r="687" spans="1:16" s="1335" customFormat="1">
      <c r="A687" s="1334"/>
      <c r="B687" s="1290"/>
      <c r="C687" s="1290"/>
      <c r="G687" s="1290"/>
      <c r="H687" s="1290"/>
      <c r="I687" s="1290"/>
      <c r="J687" s="1290"/>
      <c r="K687" s="1290"/>
      <c r="L687" s="1290"/>
      <c r="M687" s="1290"/>
      <c r="N687" s="1290"/>
      <c r="O687" s="1290"/>
      <c r="P687" s="1290"/>
    </row>
    <row r="688" spans="1:16" s="1335" customFormat="1">
      <c r="A688" s="1334"/>
      <c r="B688" s="1290"/>
      <c r="C688" s="1290"/>
      <c r="G688" s="1290"/>
      <c r="H688" s="1290"/>
      <c r="I688" s="1290"/>
      <c r="J688" s="1290"/>
      <c r="K688" s="1290"/>
      <c r="L688" s="1290"/>
      <c r="M688" s="1290"/>
      <c r="N688" s="1290"/>
      <c r="O688" s="1290"/>
      <c r="P688" s="1290"/>
    </row>
    <row r="689" spans="1:16" s="1335" customFormat="1">
      <c r="A689" s="1334"/>
      <c r="B689" s="1290"/>
      <c r="C689" s="1290"/>
      <c r="G689" s="1290"/>
      <c r="H689" s="1290"/>
      <c r="I689" s="1290"/>
      <c r="J689" s="1290"/>
      <c r="K689" s="1290"/>
      <c r="L689" s="1290"/>
      <c r="M689" s="1290"/>
      <c r="N689" s="1290"/>
      <c r="O689" s="1290"/>
      <c r="P689" s="1290"/>
    </row>
    <row r="690" spans="1:16" s="1335" customFormat="1">
      <c r="A690" s="1334"/>
      <c r="B690" s="1290"/>
      <c r="C690" s="1290"/>
      <c r="G690" s="1290"/>
      <c r="H690" s="1290"/>
      <c r="I690" s="1290"/>
      <c r="J690" s="1290"/>
      <c r="K690" s="1290"/>
      <c r="L690" s="1290"/>
      <c r="M690" s="1290"/>
      <c r="N690" s="1290"/>
      <c r="O690" s="1290"/>
      <c r="P690" s="1290"/>
    </row>
    <row r="691" spans="1:16" s="1335" customFormat="1">
      <c r="A691" s="1334"/>
      <c r="B691" s="1290"/>
      <c r="C691" s="1290"/>
      <c r="G691" s="1290"/>
      <c r="H691" s="1290"/>
      <c r="I691" s="1290"/>
      <c r="J691" s="1290"/>
      <c r="K691" s="1290"/>
      <c r="L691" s="1290"/>
      <c r="M691" s="1290"/>
      <c r="N691" s="1290"/>
      <c r="O691" s="1290"/>
      <c r="P691" s="1290"/>
    </row>
    <row r="692" spans="1:16" s="1335" customFormat="1">
      <c r="A692" s="1334"/>
      <c r="B692" s="1290"/>
      <c r="C692" s="1290"/>
      <c r="G692" s="1290"/>
      <c r="H692" s="1290"/>
      <c r="I692" s="1290"/>
      <c r="J692" s="1290"/>
      <c r="K692" s="1290"/>
      <c r="L692" s="1290"/>
      <c r="M692" s="1290"/>
      <c r="N692" s="1290"/>
      <c r="O692" s="1290"/>
      <c r="P692" s="1290"/>
    </row>
    <row r="693" spans="1:16" s="1335" customFormat="1">
      <c r="A693" s="1334"/>
      <c r="B693" s="1290"/>
      <c r="C693" s="1290"/>
      <c r="G693" s="1290"/>
      <c r="H693" s="1290"/>
      <c r="I693" s="1290"/>
      <c r="J693" s="1290"/>
      <c r="K693" s="1290"/>
      <c r="L693" s="1290"/>
      <c r="M693" s="1290"/>
      <c r="N693" s="1290"/>
      <c r="O693" s="1290"/>
      <c r="P693" s="1290"/>
    </row>
    <row r="694" spans="1:16" s="1335" customFormat="1">
      <c r="A694" s="1334"/>
      <c r="B694" s="1290"/>
      <c r="C694" s="1290"/>
      <c r="G694" s="1290"/>
      <c r="H694" s="1290"/>
      <c r="I694" s="1290"/>
      <c r="J694" s="1290"/>
      <c r="K694" s="1290"/>
      <c r="L694" s="1290"/>
      <c r="M694" s="1290"/>
      <c r="N694" s="1290"/>
      <c r="O694" s="1290"/>
      <c r="P694" s="1290"/>
    </row>
    <row r="695" spans="1:16" s="1335" customFormat="1">
      <c r="A695" s="1334"/>
      <c r="B695" s="1290"/>
      <c r="C695" s="1290"/>
      <c r="G695" s="1290"/>
      <c r="H695" s="1290"/>
      <c r="I695" s="1290"/>
      <c r="J695" s="1290"/>
      <c r="K695" s="1290"/>
      <c r="L695" s="1290"/>
      <c r="M695" s="1290"/>
      <c r="N695" s="1290"/>
      <c r="O695" s="1290"/>
      <c r="P695" s="1290"/>
    </row>
    <row r="696" spans="1:16" s="1335" customFormat="1">
      <c r="A696" s="1334"/>
      <c r="B696" s="1290"/>
      <c r="C696" s="1290"/>
      <c r="G696" s="1290"/>
      <c r="H696" s="1290"/>
      <c r="I696" s="1290"/>
      <c r="J696" s="1290"/>
      <c r="K696" s="1290"/>
      <c r="L696" s="1290"/>
      <c r="M696" s="1290"/>
      <c r="N696" s="1290"/>
      <c r="O696" s="1290"/>
      <c r="P696" s="1290"/>
    </row>
    <row r="697" spans="1:16" s="1335" customFormat="1">
      <c r="A697" s="1334"/>
      <c r="B697" s="1290"/>
      <c r="C697" s="1290"/>
      <c r="G697" s="1290"/>
      <c r="H697" s="1290"/>
      <c r="I697" s="1290"/>
      <c r="J697" s="1290"/>
      <c r="K697" s="1290"/>
      <c r="L697" s="1290"/>
      <c r="M697" s="1290"/>
      <c r="N697" s="1290"/>
      <c r="O697" s="1290"/>
      <c r="P697" s="1290"/>
    </row>
    <row r="698" spans="1:16" s="1335" customFormat="1">
      <c r="A698" s="1334"/>
      <c r="B698" s="1290"/>
      <c r="C698" s="1290"/>
      <c r="G698" s="1290"/>
      <c r="H698" s="1290"/>
      <c r="I698" s="1290"/>
      <c r="J698" s="1290"/>
      <c r="K698" s="1290"/>
      <c r="L698" s="1290"/>
      <c r="M698" s="1290"/>
      <c r="N698" s="1290"/>
      <c r="O698" s="1290"/>
      <c r="P698" s="1290"/>
    </row>
    <row r="699" spans="1:16" s="1335" customFormat="1">
      <c r="A699" s="1334"/>
      <c r="B699" s="1290"/>
      <c r="C699" s="1290"/>
      <c r="G699" s="1290"/>
      <c r="H699" s="1290"/>
      <c r="I699" s="1290"/>
      <c r="J699" s="1290"/>
      <c r="K699" s="1290"/>
      <c r="L699" s="1290"/>
      <c r="M699" s="1290"/>
      <c r="N699" s="1290"/>
      <c r="O699" s="1290"/>
      <c r="P699" s="1290"/>
    </row>
    <row r="700" spans="1:16" s="1335" customFormat="1">
      <c r="A700" s="1334"/>
      <c r="B700" s="1290"/>
      <c r="C700" s="1290"/>
      <c r="G700" s="1290"/>
      <c r="H700" s="1290"/>
      <c r="I700" s="1290"/>
      <c r="J700" s="1290"/>
      <c r="K700" s="1290"/>
      <c r="L700" s="1290"/>
      <c r="M700" s="1290"/>
      <c r="N700" s="1290"/>
      <c r="O700" s="1290"/>
      <c r="P700" s="1290"/>
    </row>
    <row r="701" spans="1:16" s="1335" customFormat="1">
      <c r="A701" s="1334"/>
      <c r="B701" s="1290"/>
      <c r="C701" s="1290"/>
      <c r="G701" s="1290"/>
      <c r="H701" s="1290"/>
      <c r="I701" s="1290"/>
      <c r="J701" s="1290"/>
      <c r="K701" s="1290"/>
      <c r="L701" s="1290"/>
      <c r="M701" s="1290"/>
      <c r="N701" s="1290"/>
      <c r="O701" s="1290"/>
      <c r="P701" s="1290"/>
    </row>
    <row r="702" spans="1:16" s="1335" customFormat="1">
      <c r="A702" s="1334"/>
      <c r="B702" s="1290"/>
      <c r="C702" s="1290"/>
      <c r="G702" s="1290"/>
      <c r="H702" s="1290"/>
      <c r="I702" s="1290"/>
      <c r="J702" s="1290"/>
      <c r="K702" s="1290"/>
      <c r="L702" s="1290"/>
      <c r="M702" s="1290"/>
      <c r="N702" s="1290"/>
      <c r="O702" s="1290"/>
      <c r="P702" s="1290"/>
    </row>
    <row r="703" spans="1:16" s="1335" customFormat="1">
      <c r="A703" s="1334"/>
      <c r="B703" s="1290"/>
      <c r="C703" s="1290"/>
      <c r="G703" s="1290"/>
      <c r="H703" s="1290"/>
      <c r="I703" s="1290"/>
      <c r="J703" s="1290"/>
      <c r="K703" s="1290"/>
      <c r="L703" s="1290"/>
      <c r="M703" s="1290"/>
      <c r="N703" s="1290"/>
      <c r="O703" s="1290"/>
      <c r="P703" s="1290"/>
    </row>
    <row r="704" spans="1:16" s="1335" customFormat="1">
      <c r="A704" s="1334"/>
      <c r="B704" s="1290"/>
      <c r="C704" s="1290"/>
      <c r="G704" s="1290"/>
      <c r="H704" s="1290"/>
      <c r="I704" s="1290"/>
      <c r="J704" s="1290"/>
      <c r="K704" s="1290"/>
      <c r="L704" s="1290"/>
      <c r="M704" s="1290"/>
      <c r="N704" s="1290"/>
      <c r="O704" s="1290"/>
      <c r="P704" s="1290"/>
    </row>
    <row r="705" spans="1:16" s="1335" customFormat="1">
      <c r="A705" s="1334"/>
      <c r="B705" s="1290"/>
      <c r="C705" s="1290"/>
      <c r="G705" s="1290"/>
      <c r="H705" s="1290"/>
      <c r="I705" s="1290"/>
      <c r="J705" s="1290"/>
      <c r="K705" s="1290"/>
      <c r="L705" s="1290"/>
      <c r="M705" s="1290"/>
      <c r="N705" s="1290"/>
      <c r="O705" s="1290"/>
      <c r="P705" s="1290"/>
    </row>
    <row r="706" spans="1:16" s="1335" customFormat="1">
      <c r="A706" s="1334"/>
      <c r="B706" s="1290"/>
      <c r="C706" s="1290"/>
      <c r="G706" s="1290"/>
      <c r="H706" s="1290"/>
      <c r="I706" s="1290"/>
      <c r="J706" s="1290"/>
      <c r="K706" s="1290"/>
      <c r="L706" s="1290"/>
      <c r="M706" s="1290"/>
      <c r="N706" s="1290"/>
      <c r="O706" s="1290"/>
      <c r="P706" s="1290"/>
    </row>
    <row r="707" spans="1:16" s="1335" customFormat="1">
      <c r="A707" s="1334"/>
      <c r="B707" s="1290"/>
      <c r="C707" s="1290"/>
      <c r="G707" s="1290"/>
      <c r="H707" s="1290"/>
      <c r="I707" s="1290"/>
      <c r="J707" s="1290"/>
      <c r="K707" s="1290"/>
      <c r="L707" s="1290"/>
      <c r="M707" s="1290"/>
      <c r="N707" s="1290"/>
      <c r="O707" s="1290"/>
      <c r="P707" s="1290"/>
    </row>
    <row r="708" spans="1:16" s="1335" customFormat="1">
      <c r="A708" s="1334"/>
      <c r="B708" s="1290"/>
      <c r="C708" s="1290"/>
      <c r="G708" s="1290"/>
      <c r="H708" s="1290"/>
      <c r="I708" s="1290"/>
      <c r="J708" s="1290"/>
      <c r="K708" s="1290"/>
      <c r="L708" s="1290"/>
      <c r="M708" s="1290"/>
      <c r="N708" s="1290"/>
      <c r="O708" s="1290"/>
      <c r="P708" s="1290"/>
    </row>
    <row r="709" spans="1:16" s="1335" customFormat="1">
      <c r="A709" s="1334"/>
      <c r="B709" s="1290"/>
      <c r="C709" s="1290"/>
      <c r="G709" s="1290"/>
      <c r="H709" s="1290"/>
      <c r="I709" s="1290"/>
      <c r="J709" s="1290"/>
      <c r="K709" s="1290"/>
      <c r="L709" s="1290"/>
      <c r="M709" s="1290"/>
      <c r="N709" s="1290"/>
      <c r="O709" s="1290"/>
      <c r="P709" s="1290"/>
    </row>
    <row r="710" spans="1:16" s="1335" customFormat="1">
      <c r="A710" s="1334"/>
      <c r="B710" s="1290"/>
      <c r="C710" s="1290"/>
      <c r="G710" s="1290"/>
      <c r="H710" s="1290"/>
      <c r="I710" s="1290"/>
      <c r="J710" s="1290"/>
      <c r="K710" s="1290"/>
      <c r="L710" s="1290"/>
      <c r="M710" s="1290"/>
      <c r="N710" s="1290"/>
      <c r="O710" s="1290"/>
      <c r="P710" s="1290"/>
    </row>
    <row r="711" spans="1:16" s="1335" customFormat="1">
      <c r="A711" s="1334"/>
      <c r="B711" s="1290"/>
      <c r="C711" s="1290"/>
      <c r="G711" s="1290"/>
      <c r="H711" s="1290"/>
      <c r="I711" s="1290"/>
      <c r="J711" s="1290"/>
      <c r="K711" s="1290"/>
      <c r="L711" s="1290"/>
      <c r="M711" s="1290"/>
      <c r="N711" s="1290"/>
      <c r="O711" s="1290"/>
      <c r="P711" s="1290"/>
    </row>
    <row r="712" spans="1:16" s="1335" customFormat="1">
      <c r="A712" s="1334"/>
      <c r="B712" s="1290"/>
      <c r="C712" s="1290"/>
      <c r="G712" s="1290"/>
      <c r="H712" s="1290"/>
      <c r="I712" s="1290"/>
      <c r="J712" s="1290"/>
      <c r="K712" s="1290"/>
      <c r="L712" s="1290"/>
      <c r="M712" s="1290"/>
      <c r="N712" s="1290"/>
      <c r="O712" s="1290"/>
      <c r="P712" s="1290"/>
    </row>
    <row r="713" spans="1:16" s="1335" customFormat="1">
      <c r="A713" s="1334"/>
      <c r="B713" s="1290"/>
      <c r="C713" s="1290"/>
      <c r="G713" s="1290"/>
      <c r="H713" s="1290"/>
      <c r="I713" s="1290"/>
      <c r="J713" s="1290"/>
      <c r="K713" s="1290"/>
      <c r="L713" s="1290"/>
      <c r="M713" s="1290"/>
      <c r="N713" s="1290"/>
      <c r="O713" s="1290"/>
      <c r="P713" s="1290"/>
    </row>
    <row r="714" spans="1:16" s="1335" customFormat="1">
      <c r="A714" s="1334"/>
      <c r="B714" s="1290"/>
      <c r="C714" s="1290"/>
      <c r="G714" s="1290"/>
      <c r="H714" s="1290"/>
      <c r="I714" s="1290"/>
      <c r="J714" s="1290"/>
      <c r="K714" s="1290"/>
      <c r="L714" s="1290"/>
      <c r="M714" s="1290"/>
      <c r="N714" s="1290"/>
      <c r="O714" s="1290"/>
      <c r="P714" s="1290"/>
    </row>
    <row r="715" spans="1:16" s="1335" customFormat="1">
      <c r="A715" s="1334"/>
      <c r="B715" s="1290"/>
      <c r="C715" s="1290"/>
      <c r="G715" s="1290"/>
      <c r="H715" s="1290"/>
      <c r="I715" s="1290"/>
      <c r="J715" s="1290"/>
      <c r="K715" s="1290"/>
      <c r="L715" s="1290"/>
      <c r="M715" s="1290"/>
      <c r="N715" s="1290"/>
      <c r="O715" s="1290"/>
      <c r="P715" s="1290"/>
    </row>
    <row r="716" spans="1:16" s="1335" customFormat="1">
      <c r="A716" s="1334"/>
      <c r="B716" s="1290"/>
      <c r="C716" s="1290"/>
      <c r="G716" s="1290"/>
      <c r="H716" s="1290"/>
      <c r="I716" s="1290"/>
      <c r="J716" s="1290"/>
      <c r="K716" s="1290"/>
      <c r="L716" s="1290"/>
      <c r="M716" s="1290"/>
      <c r="N716" s="1290"/>
      <c r="O716" s="1290"/>
      <c r="P716" s="1290"/>
    </row>
    <row r="717" spans="1:16" s="1335" customFormat="1">
      <c r="A717" s="1334"/>
      <c r="B717" s="1290"/>
      <c r="C717" s="1290"/>
      <c r="G717" s="1290"/>
      <c r="H717" s="1290"/>
      <c r="I717" s="1290"/>
      <c r="J717" s="1290"/>
      <c r="K717" s="1290"/>
      <c r="L717" s="1290"/>
      <c r="M717" s="1290"/>
      <c r="N717" s="1290"/>
      <c r="O717" s="1290"/>
      <c r="P717" s="1290"/>
    </row>
    <row r="718" spans="1:16" s="1335" customFormat="1">
      <c r="A718" s="1334"/>
      <c r="B718" s="1290"/>
      <c r="C718" s="1290"/>
      <c r="G718" s="1290"/>
      <c r="H718" s="1290"/>
      <c r="I718" s="1290"/>
      <c r="J718" s="1290"/>
      <c r="K718" s="1290"/>
      <c r="L718" s="1290"/>
      <c r="M718" s="1290"/>
      <c r="N718" s="1290"/>
      <c r="O718" s="1290"/>
      <c r="P718" s="1290"/>
    </row>
    <row r="719" spans="1:16" s="1335" customFormat="1">
      <c r="A719" s="1334"/>
      <c r="B719" s="1290"/>
      <c r="C719" s="1290"/>
      <c r="G719" s="1290"/>
      <c r="H719" s="1290"/>
      <c r="I719" s="1290"/>
      <c r="J719" s="1290"/>
      <c r="K719" s="1290"/>
      <c r="L719" s="1290"/>
      <c r="M719" s="1290"/>
      <c r="N719" s="1290"/>
      <c r="O719" s="1290"/>
      <c r="P719" s="1290"/>
    </row>
    <row r="720" spans="1:16" s="1335" customFormat="1">
      <c r="A720" s="1334"/>
      <c r="B720" s="1290"/>
      <c r="C720" s="1290"/>
      <c r="G720" s="1290"/>
      <c r="H720" s="1290"/>
      <c r="I720" s="1290"/>
      <c r="J720" s="1290"/>
      <c r="K720" s="1290"/>
      <c r="L720" s="1290"/>
      <c r="M720" s="1290"/>
      <c r="N720" s="1290"/>
      <c r="O720" s="1290"/>
      <c r="P720" s="1290"/>
    </row>
    <row r="721" spans="1:16" s="1335" customFormat="1">
      <c r="A721" s="1334"/>
      <c r="B721" s="1290"/>
      <c r="C721" s="1290"/>
      <c r="G721" s="1290"/>
      <c r="H721" s="1290"/>
      <c r="I721" s="1290"/>
      <c r="J721" s="1290"/>
      <c r="K721" s="1290"/>
      <c r="L721" s="1290"/>
      <c r="M721" s="1290"/>
      <c r="N721" s="1290"/>
      <c r="O721" s="1290"/>
      <c r="P721" s="1290"/>
    </row>
    <row r="722" spans="1:16" s="1335" customFormat="1">
      <c r="A722" s="1334"/>
      <c r="B722" s="1290"/>
      <c r="C722" s="1290"/>
      <c r="G722" s="1290"/>
      <c r="H722" s="1290"/>
      <c r="I722" s="1290"/>
      <c r="J722" s="1290"/>
      <c r="K722" s="1290"/>
      <c r="L722" s="1290"/>
      <c r="M722" s="1290"/>
      <c r="N722" s="1290"/>
      <c r="O722" s="1290"/>
      <c r="P722" s="1290"/>
    </row>
    <row r="723" spans="1:16" s="1335" customFormat="1">
      <c r="A723" s="1334"/>
      <c r="B723" s="1290"/>
      <c r="C723" s="1290"/>
      <c r="G723" s="1290"/>
      <c r="H723" s="1290"/>
      <c r="I723" s="1290"/>
      <c r="J723" s="1290"/>
      <c r="K723" s="1290"/>
      <c r="L723" s="1290"/>
      <c r="M723" s="1290"/>
      <c r="N723" s="1290"/>
      <c r="O723" s="1290"/>
      <c r="P723" s="1290"/>
    </row>
    <row r="724" spans="1:16" s="1335" customFormat="1">
      <c r="A724" s="1334"/>
      <c r="B724" s="1290"/>
      <c r="C724" s="1290"/>
      <c r="G724" s="1290"/>
      <c r="H724" s="1290"/>
      <c r="I724" s="1290"/>
      <c r="J724" s="1290"/>
      <c r="K724" s="1290"/>
      <c r="L724" s="1290"/>
      <c r="M724" s="1290"/>
      <c r="N724" s="1290"/>
      <c r="O724" s="1290"/>
      <c r="P724" s="1290"/>
    </row>
    <row r="725" spans="1:16" s="1335" customFormat="1">
      <c r="A725" s="1334"/>
      <c r="B725" s="1290"/>
      <c r="C725" s="1290"/>
      <c r="G725" s="1290"/>
      <c r="H725" s="1290"/>
      <c r="I725" s="1290"/>
      <c r="J725" s="1290"/>
      <c r="K725" s="1290"/>
      <c r="L725" s="1290"/>
      <c r="M725" s="1290"/>
      <c r="N725" s="1290"/>
      <c r="O725" s="1290"/>
      <c r="P725" s="1290"/>
    </row>
    <row r="726" spans="1:16" s="1335" customFormat="1">
      <c r="A726" s="1334"/>
      <c r="B726" s="1290"/>
      <c r="C726" s="1290"/>
      <c r="G726" s="1290"/>
      <c r="H726" s="1290"/>
      <c r="I726" s="1290"/>
      <c r="J726" s="1290"/>
      <c r="K726" s="1290"/>
      <c r="L726" s="1290"/>
      <c r="M726" s="1290"/>
      <c r="N726" s="1290"/>
      <c r="O726" s="1290"/>
      <c r="P726" s="1290"/>
    </row>
    <row r="727" spans="1:16" s="1335" customFormat="1">
      <c r="A727" s="1334"/>
      <c r="B727" s="1290"/>
      <c r="C727" s="1290"/>
      <c r="G727" s="1290"/>
      <c r="H727" s="1290"/>
      <c r="I727" s="1290"/>
      <c r="J727" s="1290"/>
      <c r="K727" s="1290"/>
      <c r="L727" s="1290"/>
      <c r="M727" s="1290"/>
      <c r="N727" s="1290"/>
      <c r="O727" s="1290"/>
      <c r="P727" s="1290"/>
    </row>
    <row r="728" spans="1:16" s="1335" customFormat="1">
      <c r="A728" s="1334"/>
      <c r="B728" s="1290"/>
      <c r="C728" s="1290"/>
      <c r="G728" s="1290"/>
      <c r="H728" s="1290"/>
      <c r="I728" s="1290"/>
      <c r="J728" s="1290"/>
      <c r="K728" s="1290"/>
      <c r="L728" s="1290"/>
      <c r="M728" s="1290"/>
      <c r="N728" s="1290"/>
      <c r="O728" s="1290"/>
      <c r="P728" s="1290"/>
    </row>
    <row r="729" spans="1:16" s="1335" customFormat="1">
      <c r="A729" s="1334"/>
      <c r="B729" s="1290"/>
      <c r="C729" s="1290"/>
      <c r="G729" s="1290"/>
      <c r="H729" s="1290"/>
      <c r="I729" s="1290"/>
      <c r="J729" s="1290"/>
      <c r="K729" s="1290"/>
      <c r="L729" s="1290"/>
      <c r="M729" s="1290"/>
      <c r="N729" s="1290"/>
      <c r="O729" s="1290"/>
      <c r="P729" s="1290"/>
    </row>
    <row r="730" spans="1:16" s="1335" customFormat="1">
      <c r="A730" s="1334"/>
      <c r="B730" s="1290"/>
      <c r="C730" s="1290"/>
      <c r="G730" s="1290"/>
      <c r="H730" s="1290"/>
      <c r="I730" s="1290"/>
      <c r="J730" s="1290"/>
      <c r="K730" s="1290"/>
      <c r="L730" s="1290"/>
      <c r="M730" s="1290"/>
      <c r="N730" s="1290"/>
      <c r="O730" s="1290"/>
      <c r="P730" s="1290"/>
    </row>
    <row r="731" spans="1:16" s="1335" customFormat="1">
      <c r="A731" s="1334"/>
      <c r="B731" s="1290"/>
      <c r="C731" s="1290"/>
      <c r="G731" s="1290"/>
      <c r="H731" s="1290"/>
      <c r="I731" s="1290"/>
      <c r="J731" s="1290"/>
      <c r="K731" s="1290"/>
      <c r="L731" s="1290"/>
      <c r="M731" s="1290"/>
      <c r="N731" s="1290"/>
      <c r="O731" s="1290"/>
      <c r="P731" s="1290"/>
    </row>
    <row r="732" spans="1:16" s="1335" customFormat="1">
      <c r="A732" s="1334"/>
      <c r="B732" s="1290"/>
      <c r="C732" s="1290"/>
      <c r="G732" s="1290"/>
      <c r="H732" s="1290"/>
      <c r="I732" s="1290"/>
      <c r="J732" s="1290"/>
      <c r="K732" s="1290"/>
      <c r="L732" s="1290"/>
      <c r="M732" s="1290"/>
      <c r="N732" s="1290"/>
      <c r="O732" s="1290"/>
      <c r="P732" s="1290"/>
    </row>
    <row r="733" spans="1:16" s="1335" customFormat="1">
      <c r="A733" s="1334"/>
      <c r="B733" s="1290"/>
      <c r="C733" s="1290"/>
      <c r="G733" s="1290"/>
      <c r="H733" s="1290"/>
      <c r="I733" s="1290"/>
      <c r="J733" s="1290"/>
      <c r="K733" s="1290"/>
      <c r="L733" s="1290"/>
      <c r="M733" s="1290"/>
      <c r="N733" s="1290"/>
      <c r="O733" s="1290"/>
      <c r="P733" s="1290"/>
    </row>
    <row r="734" spans="1:16" s="1335" customFormat="1">
      <c r="A734" s="1334"/>
      <c r="B734" s="1290"/>
      <c r="C734" s="1290"/>
      <c r="G734" s="1290"/>
      <c r="H734" s="1290"/>
      <c r="I734" s="1290"/>
      <c r="J734" s="1290"/>
      <c r="K734" s="1290"/>
      <c r="L734" s="1290"/>
      <c r="M734" s="1290"/>
      <c r="N734" s="1290"/>
      <c r="O734" s="1290"/>
      <c r="P734" s="1290"/>
    </row>
    <row r="735" spans="1:16" s="1335" customFormat="1">
      <c r="A735" s="1334"/>
      <c r="B735" s="1290"/>
      <c r="C735" s="1290"/>
      <c r="G735" s="1290"/>
      <c r="H735" s="1290"/>
      <c r="I735" s="1290"/>
      <c r="J735" s="1290"/>
      <c r="K735" s="1290"/>
      <c r="L735" s="1290"/>
      <c r="M735" s="1290"/>
      <c r="N735" s="1290"/>
      <c r="O735" s="1290"/>
      <c r="P735" s="1290"/>
    </row>
    <row r="736" spans="1:16" s="1335" customFormat="1">
      <c r="A736" s="1334"/>
      <c r="B736" s="1290"/>
      <c r="C736" s="1290"/>
      <c r="G736" s="1290"/>
      <c r="H736" s="1290"/>
      <c r="I736" s="1290"/>
      <c r="J736" s="1290"/>
      <c r="K736" s="1290"/>
      <c r="L736" s="1290"/>
      <c r="M736" s="1290"/>
      <c r="N736" s="1290"/>
      <c r="O736" s="1290"/>
      <c r="P736" s="1290"/>
    </row>
    <row r="737" spans="1:16" s="1335" customFormat="1">
      <c r="A737" s="1334"/>
      <c r="B737" s="1290"/>
      <c r="C737" s="1290"/>
      <c r="G737" s="1290"/>
      <c r="H737" s="1290"/>
      <c r="I737" s="1290"/>
      <c r="J737" s="1290"/>
      <c r="K737" s="1290"/>
      <c r="L737" s="1290"/>
      <c r="M737" s="1290"/>
      <c r="N737" s="1290"/>
      <c r="O737" s="1290"/>
      <c r="P737" s="1290"/>
    </row>
    <row r="738" spans="1:16" s="1335" customFormat="1">
      <c r="A738" s="1334"/>
      <c r="B738" s="1290"/>
      <c r="C738" s="1290"/>
      <c r="G738" s="1290"/>
      <c r="H738" s="1290"/>
      <c r="I738" s="1290"/>
      <c r="J738" s="1290"/>
      <c r="K738" s="1290"/>
      <c r="L738" s="1290"/>
      <c r="M738" s="1290"/>
      <c r="N738" s="1290"/>
      <c r="O738" s="1290"/>
      <c r="P738" s="1290"/>
    </row>
    <row r="739" spans="1:16" s="1335" customFormat="1">
      <c r="A739" s="1334"/>
      <c r="B739" s="1290"/>
      <c r="C739" s="1290"/>
      <c r="G739" s="1290"/>
      <c r="H739" s="1290"/>
      <c r="I739" s="1290"/>
      <c r="J739" s="1290"/>
      <c r="K739" s="1290"/>
      <c r="L739" s="1290"/>
      <c r="M739" s="1290"/>
      <c r="N739" s="1290"/>
      <c r="O739" s="1290"/>
      <c r="P739" s="1290"/>
    </row>
    <row r="740" spans="1:16" s="1335" customFormat="1">
      <c r="A740" s="1334"/>
      <c r="B740" s="1290"/>
      <c r="C740" s="1290"/>
      <c r="G740" s="1290"/>
      <c r="H740" s="1290"/>
      <c r="I740" s="1290"/>
      <c r="J740" s="1290"/>
      <c r="K740" s="1290"/>
      <c r="L740" s="1290"/>
      <c r="M740" s="1290"/>
      <c r="N740" s="1290"/>
      <c r="O740" s="1290"/>
      <c r="P740" s="1290"/>
    </row>
    <row r="741" spans="1:16" s="1335" customFormat="1">
      <c r="A741" s="1334"/>
      <c r="B741" s="1290"/>
      <c r="C741" s="1290"/>
      <c r="G741" s="1290"/>
      <c r="H741" s="1290"/>
      <c r="I741" s="1290"/>
      <c r="J741" s="1290"/>
      <c r="K741" s="1290"/>
      <c r="L741" s="1290"/>
      <c r="M741" s="1290"/>
      <c r="N741" s="1290"/>
      <c r="O741" s="1290"/>
      <c r="P741" s="1290"/>
    </row>
    <row r="742" spans="1:16" s="1335" customFormat="1">
      <c r="A742" s="1334"/>
      <c r="B742" s="1290"/>
      <c r="C742" s="1290"/>
      <c r="G742" s="1290"/>
      <c r="H742" s="1290"/>
      <c r="I742" s="1290"/>
      <c r="J742" s="1290"/>
      <c r="K742" s="1290"/>
      <c r="L742" s="1290"/>
      <c r="M742" s="1290"/>
      <c r="N742" s="1290"/>
      <c r="O742" s="1290"/>
      <c r="P742" s="1290"/>
    </row>
    <row r="743" spans="1:16" s="1335" customFormat="1">
      <c r="A743" s="1334"/>
      <c r="B743" s="1290"/>
      <c r="C743" s="1290"/>
      <c r="G743" s="1290"/>
      <c r="H743" s="1290"/>
      <c r="I743" s="1290"/>
      <c r="J743" s="1290"/>
      <c r="K743" s="1290"/>
      <c r="L743" s="1290"/>
      <c r="M743" s="1290"/>
      <c r="N743" s="1290"/>
      <c r="O743" s="1290"/>
      <c r="P743" s="1290"/>
    </row>
    <row r="744" spans="1:16" s="1335" customFormat="1">
      <c r="A744" s="1334"/>
      <c r="B744" s="1290"/>
      <c r="C744" s="1290"/>
      <c r="G744" s="1290"/>
      <c r="H744" s="1290"/>
      <c r="I744" s="1290"/>
      <c r="J744" s="1290"/>
      <c r="K744" s="1290"/>
      <c r="L744" s="1290"/>
      <c r="M744" s="1290"/>
      <c r="N744" s="1290"/>
      <c r="O744" s="1290"/>
      <c r="P744" s="1290"/>
    </row>
    <row r="745" spans="1:16" s="1335" customFormat="1">
      <c r="A745" s="1334"/>
      <c r="B745" s="1290"/>
      <c r="C745" s="1290"/>
      <c r="G745" s="1290"/>
      <c r="H745" s="1290"/>
      <c r="I745" s="1290"/>
      <c r="J745" s="1290"/>
      <c r="K745" s="1290"/>
      <c r="L745" s="1290"/>
      <c r="M745" s="1290"/>
      <c r="N745" s="1290"/>
      <c r="O745" s="1290"/>
      <c r="P745" s="1290"/>
    </row>
    <row r="746" spans="1:16" s="1335" customFormat="1">
      <c r="A746" s="1334"/>
      <c r="B746" s="1290"/>
      <c r="C746" s="1290"/>
      <c r="G746" s="1290"/>
      <c r="H746" s="1290"/>
      <c r="I746" s="1290"/>
      <c r="J746" s="1290"/>
      <c r="K746" s="1290"/>
      <c r="L746" s="1290"/>
      <c r="M746" s="1290"/>
      <c r="N746" s="1290"/>
      <c r="O746" s="1290"/>
      <c r="P746" s="1290"/>
    </row>
    <row r="747" spans="1:16" s="1335" customFormat="1">
      <c r="A747" s="1334"/>
      <c r="B747" s="1290"/>
      <c r="C747" s="1290"/>
      <c r="G747" s="1290"/>
      <c r="H747" s="1290"/>
      <c r="I747" s="1290"/>
      <c r="J747" s="1290"/>
      <c r="K747" s="1290"/>
      <c r="L747" s="1290"/>
      <c r="M747" s="1290"/>
      <c r="N747" s="1290"/>
      <c r="O747" s="1290"/>
      <c r="P747" s="1290"/>
    </row>
    <row r="748" spans="1:16" s="1335" customFormat="1">
      <c r="A748" s="1334"/>
      <c r="B748" s="1290"/>
      <c r="C748" s="1290"/>
      <c r="G748" s="1290"/>
      <c r="H748" s="1290"/>
      <c r="I748" s="1290"/>
      <c r="J748" s="1290"/>
      <c r="K748" s="1290"/>
      <c r="L748" s="1290"/>
      <c r="M748" s="1290"/>
      <c r="N748" s="1290"/>
      <c r="O748" s="1290"/>
      <c r="P748" s="1290"/>
    </row>
    <row r="749" spans="1:16" s="1335" customFormat="1">
      <c r="A749" s="1334"/>
      <c r="B749" s="1290"/>
      <c r="C749" s="1290"/>
      <c r="G749" s="1290"/>
      <c r="H749" s="1290"/>
      <c r="I749" s="1290"/>
      <c r="J749" s="1290"/>
      <c r="K749" s="1290"/>
      <c r="L749" s="1290"/>
      <c r="M749" s="1290"/>
      <c r="N749" s="1290"/>
      <c r="O749" s="1290"/>
      <c r="P749" s="1290"/>
    </row>
    <row r="750" spans="1:16" s="1335" customFormat="1">
      <c r="A750" s="1334"/>
      <c r="B750" s="1290"/>
      <c r="C750" s="1290"/>
      <c r="G750" s="1290"/>
      <c r="H750" s="1290"/>
      <c r="I750" s="1290"/>
      <c r="J750" s="1290"/>
      <c r="K750" s="1290"/>
      <c r="L750" s="1290"/>
      <c r="M750" s="1290"/>
      <c r="N750" s="1290"/>
      <c r="O750" s="1290"/>
      <c r="P750" s="1290"/>
    </row>
    <row r="751" spans="1:16" s="1335" customFormat="1">
      <c r="A751" s="1334"/>
      <c r="B751" s="1290"/>
      <c r="C751" s="1290"/>
      <c r="G751" s="1290"/>
      <c r="H751" s="1290"/>
      <c r="I751" s="1290"/>
      <c r="J751" s="1290"/>
      <c r="K751" s="1290"/>
      <c r="L751" s="1290"/>
      <c r="M751" s="1290"/>
      <c r="N751" s="1290"/>
      <c r="O751" s="1290"/>
      <c r="P751" s="1290"/>
    </row>
    <row r="752" spans="1:16" s="1335" customFormat="1">
      <c r="A752" s="1334"/>
      <c r="B752" s="1290"/>
      <c r="C752" s="1290"/>
      <c r="G752" s="1290"/>
      <c r="H752" s="1290"/>
      <c r="I752" s="1290"/>
      <c r="J752" s="1290"/>
      <c r="K752" s="1290"/>
      <c r="L752" s="1290"/>
      <c r="M752" s="1290"/>
      <c r="N752" s="1290"/>
      <c r="O752" s="1290"/>
      <c r="P752" s="1290"/>
    </row>
    <row r="753" spans="1:16" s="1335" customFormat="1">
      <c r="A753" s="1334"/>
      <c r="B753" s="1290"/>
      <c r="C753" s="1290"/>
      <c r="G753" s="1290"/>
      <c r="H753" s="1290"/>
      <c r="I753" s="1290"/>
      <c r="J753" s="1290"/>
      <c r="K753" s="1290"/>
      <c r="L753" s="1290"/>
      <c r="M753" s="1290"/>
      <c r="N753" s="1290"/>
      <c r="O753" s="1290"/>
      <c r="P753" s="1290"/>
    </row>
    <row r="754" spans="1:16" s="1335" customFormat="1">
      <c r="A754" s="1334"/>
      <c r="B754" s="1290"/>
      <c r="C754" s="1290"/>
      <c r="G754" s="1290"/>
      <c r="H754" s="1290"/>
      <c r="I754" s="1290"/>
      <c r="J754" s="1290"/>
      <c r="K754" s="1290"/>
      <c r="L754" s="1290"/>
      <c r="M754" s="1290"/>
      <c r="N754" s="1290"/>
      <c r="O754" s="1290"/>
      <c r="P754" s="1290"/>
    </row>
    <row r="755" spans="1:16" s="1335" customFormat="1">
      <c r="A755" s="1334"/>
      <c r="B755" s="1290"/>
      <c r="C755" s="1290"/>
      <c r="G755" s="1290"/>
      <c r="H755" s="1290"/>
      <c r="I755" s="1290"/>
      <c r="J755" s="1290"/>
      <c r="K755" s="1290"/>
      <c r="L755" s="1290"/>
      <c r="M755" s="1290"/>
      <c r="N755" s="1290"/>
      <c r="O755" s="1290"/>
      <c r="P755" s="1290"/>
    </row>
    <row r="756" spans="1:16" s="1335" customFormat="1">
      <c r="A756" s="1334"/>
      <c r="B756" s="1290"/>
      <c r="C756" s="1290"/>
      <c r="G756" s="1290"/>
      <c r="H756" s="1290"/>
      <c r="I756" s="1290"/>
      <c r="J756" s="1290"/>
      <c r="K756" s="1290"/>
      <c r="L756" s="1290"/>
      <c r="M756" s="1290"/>
      <c r="N756" s="1290"/>
      <c r="O756" s="1290"/>
      <c r="P756" s="1290"/>
    </row>
    <row r="757" spans="1:16" s="1335" customFormat="1">
      <c r="A757" s="1334"/>
      <c r="B757" s="1290"/>
      <c r="C757" s="1290"/>
      <c r="G757" s="1290"/>
      <c r="H757" s="1290"/>
      <c r="I757" s="1290"/>
      <c r="J757" s="1290"/>
      <c r="K757" s="1290"/>
      <c r="L757" s="1290"/>
      <c r="M757" s="1290"/>
      <c r="N757" s="1290"/>
      <c r="O757" s="1290"/>
      <c r="P757" s="1290"/>
    </row>
    <row r="758" spans="1:16" s="1335" customFormat="1">
      <c r="A758" s="1334"/>
      <c r="B758" s="1290"/>
      <c r="C758" s="1290"/>
      <c r="G758" s="1290"/>
      <c r="H758" s="1290"/>
      <c r="I758" s="1290"/>
      <c r="J758" s="1290"/>
      <c r="K758" s="1290"/>
      <c r="L758" s="1290"/>
      <c r="M758" s="1290"/>
      <c r="N758" s="1290"/>
      <c r="O758" s="1290"/>
      <c r="P758" s="1290"/>
    </row>
    <row r="759" spans="1:16" s="1335" customFormat="1">
      <c r="A759" s="1334"/>
      <c r="B759" s="1290"/>
      <c r="C759" s="1290"/>
      <c r="G759" s="1290"/>
      <c r="H759" s="1290"/>
      <c r="I759" s="1290"/>
      <c r="J759" s="1290"/>
      <c r="K759" s="1290"/>
      <c r="L759" s="1290"/>
      <c r="M759" s="1290"/>
      <c r="N759" s="1290"/>
      <c r="O759" s="1290"/>
      <c r="P759" s="1290"/>
    </row>
    <row r="760" spans="1:16" s="1335" customFormat="1">
      <c r="A760" s="1334"/>
      <c r="B760" s="1290"/>
      <c r="C760" s="1290"/>
      <c r="G760" s="1290"/>
      <c r="H760" s="1290"/>
      <c r="I760" s="1290"/>
      <c r="J760" s="1290"/>
      <c r="K760" s="1290"/>
      <c r="L760" s="1290"/>
      <c r="M760" s="1290"/>
      <c r="N760" s="1290"/>
      <c r="O760" s="1290"/>
      <c r="P760" s="1290"/>
    </row>
    <row r="761" spans="1:16" s="1335" customFormat="1">
      <c r="A761" s="1334"/>
      <c r="B761" s="1290"/>
      <c r="C761" s="1290"/>
      <c r="G761" s="1290"/>
      <c r="H761" s="1290"/>
      <c r="I761" s="1290"/>
      <c r="J761" s="1290"/>
      <c r="K761" s="1290"/>
      <c r="L761" s="1290"/>
      <c r="M761" s="1290"/>
      <c r="N761" s="1290"/>
      <c r="O761" s="1290"/>
      <c r="P761" s="1290"/>
    </row>
    <row r="762" spans="1:16" s="1335" customFormat="1">
      <c r="A762" s="1334"/>
      <c r="B762" s="1290"/>
      <c r="C762" s="1290"/>
      <c r="G762" s="1290"/>
      <c r="H762" s="1290"/>
      <c r="I762" s="1290"/>
      <c r="J762" s="1290"/>
      <c r="K762" s="1290"/>
      <c r="L762" s="1290"/>
      <c r="M762" s="1290"/>
      <c r="N762" s="1290"/>
      <c r="O762" s="1290"/>
      <c r="P762" s="1290"/>
    </row>
    <row r="763" spans="1:16" s="1335" customFormat="1">
      <c r="A763" s="1334"/>
      <c r="B763" s="1290"/>
      <c r="C763" s="1290"/>
      <c r="G763" s="1290"/>
      <c r="H763" s="1290"/>
      <c r="I763" s="1290"/>
      <c r="J763" s="1290"/>
      <c r="K763" s="1290"/>
      <c r="L763" s="1290"/>
      <c r="M763" s="1290"/>
      <c r="N763" s="1290"/>
      <c r="O763" s="1290"/>
      <c r="P763" s="1290"/>
    </row>
    <row r="764" spans="1:16" s="1335" customFormat="1">
      <c r="A764" s="1334"/>
      <c r="B764" s="1290"/>
      <c r="C764" s="1290"/>
      <c r="G764" s="1290"/>
      <c r="H764" s="1290"/>
      <c r="I764" s="1290"/>
      <c r="J764" s="1290"/>
      <c r="K764" s="1290"/>
      <c r="L764" s="1290"/>
      <c r="M764" s="1290"/>
      <c r="N764" s="1290"/>
      <c r="O764" s="1290"/>
      <c r="P764" s="1290"/>
    </row>
    <row r="765" spans="1:16" s="1335" customFormat="1">
      <c r="A765" s="1334"/>
      <c r="B765" s="1290"/>
      <c r="C765" s="1290"/>
      <c r="G765" s="1290"/>
      <c r="H765" s="1290"/>
      <c r="I765" s="1290"/>
      <c r="J765" s="1290"/>
      <c r="K765" s="1290"/>
      <c r="L765" s="1290"/>
      <c r="M765" s="1290"/>
      <c r="N765" s="1290"/>
      <c r="O765" s="1290"/>
      <c r="P765" s="1290"/>
    </row>
    <row r="766" spans="1:16" s="1335" customFormat="1">
      <c r="A766" s="1334"/>
      <c r="B766" s="1290"/>
      <c r="C766" s="1290"/>
      <c r="G766" s="1290"/>
      <c r="H766" s="1290"/>
      <c r="I766" s="1290"/>
      <c r="J766" s="1290"/>
      <c r="K766" s="1290"/>
      <c r="L766" s="1290"/>
      <c r="M766" s="1290"/>
      <c r="N766" s="1290"/>
      <c r="O766" s="1290"/>
      <c r="P766" s="1290"/>
    </row>
    <row r="767" spans="1:16" s="1335" customFormat="1">
      <c r="A767" s="1334"/>
      <c r="B767" s="1290"/>
      <c r="C767" s="1290"/>
      <c r="G767" s="1290"/>
      <c r="H767" s="1290"/>
      <c r="I767" s="1290"/>
      <c r="J767" s="1290"/>
      <c r="K767" s="1290"/>
      <c r="L767" s="1290"/>
      <c r="M767" s="1290"/>
      <c r="N767" s="1290"/>
      <c r="O767" s="1290"/>
      <c r="P767" s="1290"/>
    </row>
    <row r="768" spans="1:16" s="1335" customFormat="1">
      <c r="A768" s="1334"/>
      <c r="B768" s="1290"/>
      <c r="C768" s="1290"/>
      <c r="G768" s="1290"/>
      <c r="H768" s="1290"/>
      <c r="I768" s="1290"/>
      <c r="J768" s="1290"/>
      <c r="K768" s="1290"/>
      <c r="L768" s="1290"/>
      <c r="M768" s="1290"/>
      <c r="N768" s="1290"/>
      <c r="O768" s="1290"/>
      <c r="P768" s="1290"/>
    </row>
    <row r="769" spans="1:16" s="1335" customFormat="1">
      <c r="A769" s="1334"/>
      <c r="B769" s="1290"/>
      <c r="C769" s="1290"/>
      <c r="G769" s="1290"/>
      <c r="H769" s="1290"/>
      <c r="I769" s="1290"/>
      <c r="J769" s="1290"/>
      <c r="K769" s="1290"/>
      <c r="L769" s="1290"/>
      <c r="M769" s="1290"/>
      <c r="N769" s="1290"/>
      <c r="O769" s="1290"/>
      <c r="P769" s="1290"/>
    </row>
    <row r="770" spans="1:16" s="1335" customFormat="1">
      <c r="A770" s="1334"/>
      <c r="B770" s="1290"/>
      <c r="C770" s="1290"/>
      <c r="G770" s="1290"/>
      <c r="H770" s="1290"/>
      <c r="I770" s="1290"/>
      <c r="J770" s="1290"/>
      <c r="K770" s="1290"/>
      <c r="L770" s="1290"/>
      <c r="M770" s="1290"/>
      <c r="N770" s="1290"/>
      <c r="O770" s="1290"/>
      <c r="P770" s="1290"/>
    </row>
    <row r="771" spans="1:16" s="1335" customFormat="1">
      <c r="A771" s="1334"/>
      <c r="B771" s="1290"/>
      <c r="C771" s="1290"/>
      <c r="G771" s="1290"/>
      <c r="H771" s="1290"/>
      <c r="I771" s="1290"/>
      <c r="J771" s="1290"/>
      <c r="K771" s="1290"/>
      <c r="L771" s="1290"/>
      <c r="M771" s="1290"/>
      <c r="N771" s="1290"/>
      <c r="O771" s="1290"/>
      <c r="P771" s="1290"/>
    </row>
    <row r="772" spans="1:16" s="1335" customFormat="1">
      <c r="A772" s="1334"/>
      <c r="B772" s="1290"/>
      <c r="C772" s="1290"/>
      <c r="G772" s="1290"/>
      <c r="H772" s="1290"/>
      <c r="I772" s="1290"/>
      <c r="J772" s="1290"/>
      <c r="K772" s="1290"/>
      <c r="L772" s="1290"/>
      <c r="M772" s="1290"/>
      <c r="N772" s="1290"/>
      <c r="O772" s="1290"/>
      <c r="P772" s="1290"/>
    </row>
    <row r="773" spans="1:16" s="1335" customFormat="1">
      <c r="A773" s="1334"/>
      <c r="B773" s="1290"/>
      <c r="C773" s="1290"/>
      <c r="G773" s="1290"/>
      <c r="H773" s="1290"/>
      <c r="I773" s="1290"/>
      <c r="J773" s="1290"/>
      <c r="K773" s="1290"/>
      <c r="L773" s="1290"/>
      <c r="M773" s="1290"/>
      <c r="N773" s="1290"/>
      <c r="O773" s="1290"/>
      <c r="P773" s="1290"/>
    </row>
    <row r="774" spans="1:16" s="1335" customFormat="1">
      <c r="A774" s="1334"/>
      <c r="B774" s="1290"/>
      <c r="C774" s="1290"/>
      <c r="G774" s="1290"/>
      <c r="H774" s="1290"/>
      <c r="I774" s="1290"/>
      <c r="J774" s="1290"/>
      <c r="K774" s="1290"/>
      <c r="L774" s="1290"/>
      <c r="M774" s="1290"/>
      <c r="N774" s="1290"/>
      <c r="O774" s="1290"/>
      <c r="P774" s="1290"/>
    </row>
    <row r="775" spans="1:16" s="1335" customFormat="1">
      <c r="A775" s="1334"/>
      <c r="B775" s="1290"/>
      <c r="C775" s="1290"/>
      <c r="G775" s="1290"/>
      <c r="H775" s="1290"/>
      <c r="I775" s="1290"/>
      <c r="J775" s="1290"/>
      <c r="K775" s="1290"/>
      <c r="L775" s="1290"/>
      <c r="M775" s="1290"/>
      <c r="N775" s="1290"/>
      <c r="O775" s="1290"/>
      <c r="P775" s="1290"/>
    </row>
    <row r="776" spans="1:16" s="1335" customFormat="1">
      <c r="A776" s="1334"/>
      <c r="B776" s="1290"/>
      <c r="C776" s="1290"/>
      <c r="G776" s="1290"/>
      <c r="H776" s="1290"/>
      <c r="I776" s="1290"/>
      <c r="J776" s="1290"/>
      <c r="K776" s="1290"/>
      <c r="L776" s="1290"/>
      <c r="M776" s="1290"/>
      <c r="N776" s="1290"/>
      <c r="O776" s="1290"/>
      <c r="P776" s="1290"/>
    </row>
    <row r="777" spans="1:16" s="1335" customFormat="1">
      <c r="A777" s="1334"/>
      <c r="B777" s="1290"/>
      <c r="C777" s="1290"/>
      <c r="G777" s="1290"/>
      <c r="H777" s="1290"/>
      <c r="I777" s="1290"/>
      <c r="J777" s="1290"/>
      <c r="K777" s="1290"/>
      <c r="L777" s="1290"/>
      <c r="M777" s="1290"/>
      <c r="N777" s="1290"/>
      <c r="O777" s="1290"/>
      <c r="P777" s="1290"/>
    </row>
    <row r="778" spans="1:16" s="1335" customFormat="1">
      <c r="A778" s="1334"/>
      <c r="B778" s="1290"/>
      <c r="C778" s="1290"/>
      <c r="G778" s="1290"/>
      <c r="H778" s="1290"/>
      <c r="I778" s="1290"/>
      <c r="J778" s="1290"/>
      <c r="K778" s="1290"/>
      <c r="L778" s="1290"/>
      <c r="M778" s="1290"/>
      <c r="N778" s="1290"/>
      <c r="O778" s="1290"/>
      <c r="P778" s="1290"/>
    </row>
    <row r="779" spans="1:16" s="1335" customFormat="1">
      <c r="A779" s="1334"/>
      <c r="B779" s="1290"/>
      <c r="C779" s="1290"/>
      <c r="G779" s="1290"/>
      <c r="H779" s="1290"/>
      <c r="I779" s="1290"/>
      <c r="J779" s="1290"/>
      <c r="K779" s="1290"/>
      <c r="L779" s="1290"/>
      <c r="M779" s="1290"/>
      <c r="N779" s="1290"/>
      <c r="O779" s="1290"/>
      <c r="P779" s="1290"/>
    </row>
    <row r="780" spans="1:16" s="1335" customFormat="1">
      <c r="A780" s="1334"/>
      <c r="B780" s="1290"/>
      <c r="C780" s="1290"/>
      <c r="G780" s="1290"/>
      <c r="H780" s="1290"/>
      <c r="I780" s="1290"/>
      <c r="J780" s="1290"/>
      <c r="K780" s="1290"/>
      <c r="L780" s="1290"/>
      <c r="M780" s="1290"/>
      <c r="N780" s="1290"/>
      <c r="O780" s="1290"/>
      <c r="P780" s="1290"/>
    </row>
    <row r="781" spans="1:16" s="1335" customFormat="1">
      <c r="A781" s="1334"/>
      <c r="B781" s="1290"/>
      <c r="C781" s="1290"/>
      <c r="G781" s="1290"/>
      <c r="H781" s="1290"/>
      <c r="I781" s="1290"/>
      <c r="J781" s="1290"/>
      <c r="K781" s="1290"/>
      <c r="L781" s="1290"/>
      <c r="M781" s="1290"/>
      <c r="N781" s="1290"/>
      <c r="O781" s="1290"/>
      <c r="P781" s="1290"/>
    </row>
    <row r="782" spans="1:16" s="1335" customFormat="1">
      <c r="A782" s="1334"/>
      <c r="B782" s="1290"/>
      <c r="C782" s="1290"/>
      <c r="G782" s="1290"/>
      <c r="H782" s="1290"/>
      <c r="I782" s="1290"/>
      <c r="J782" s="1290"/>
      <c r="K782" s="1290"/>
      <c r="L782" s="1290"/>
      <c r="M782" s="1290"/>
      <c r="N782" s="1290"/>
      <c r="O782" s="1290"/>
      <c r="P782" s="1290"/>
    </row>
    <row r="783" spans="1:16" s="1335" customFormat="1">
      <c r="A783" s="1334"/>
      <c r="B783" s="1290"/>
      <c r="C783" s="1290"/>
      <c r="G783" s="1290"/>
      <c r="H783" s="1290"/>
      <c r="I783" s="1290"/>
      <c r="J783" s="1290"/>
      <c r="K783" s="1290"/>
      <c r="L783" s="1290"/>
      <c r="M783" s="1290"/>
      <c r="N783" s="1290"/>
      <c r="O783" s="1290"/>
      <c r="P783" s="1290"/>
    </row>
    <row r="784" spans="1:16" s="1335" customFormat="1">
      <c r="A784" s="1334"/>
      <c r="B784" s="1290"/>
      <c r="C784" s="1290"/>
      <c r="G784" s="1290"/>
      <c r="H784" s="1290"/>
      <c r="I784" s="1290"/>
      <c r="J784" s="1290"/>
      <c r="K784" s="1290"/>
      <c r="L784" s="1290"/>
      <c r="M784" s="1290"/>
      <c r="N784" s="1290"/>
      <c r="O784" s="1290"/>
      <c r="P784" s="1290"/>
    </row>
    <row r="785" spans="1:16" s="1335" customFormat="1">
      <c r="A785" s="1334"/>
      <c r="B785" s="1290"/>
      <c r="C785" s="1290"/>
      <c r="G785" s="1290"/>
      <c r="H785" s="1290"/>
      <c r="I785" s="1290"/>
      <c r="J785" s="1290"/>
      <c r="K785" s="1290"/>
      <c r="L785" s="1290"/>
      <c r="M785" s="1290"/>
      <c r="N785" s="1290"/>
      <c r="O785" s="1290"/>
      <c r="P785" s="1290"/>
    </row>
    <row r="786" spans="1:16" s="1335" customFormat="1">
      <c r="A786" s="1334"/>
      <c r="B786" s="1290"/>
      <c r="C786" s="1290"/>
      <c r="G786" s="1290"/>
      <c r="H786" s="1290"/>
      <c r="I786" s="1290"/>
      <c r="J786" s="1290"/>
      <c r="K786" s="1290"/>
      <c r="L786" s="1290"/>
      <c r="M786" s="1290"/>
      <c r="N786" s="1290"/>
      <c r="O786" s="1290"/>
      <c r="P786" s="1290"/>
    </row>
    <row r="787" spans="1:16" s="1335" customFormat="1">
      <c r="A787" s="1334"/>
      <c r="B787" s="1290"/>
      <c r="C787" s="1290"/>
      <c r="G787" s="1290"/>
      <c r="H787" s="1290"/>
      <c r="I787" s="1290"/>
      <c r="J787" s="1290"/>
      <c r="K787" s="1290"/>
      <c r="L787" s="1290"/>
      <c r="M787" s="1290"/>
      <c r="N787" s="1290"/>
      <c r="O787" s="1290"/>
      <c r="P787" s="1290"/>
    </row>
    <row r="788" spans="1:16" s="1335" customFormat="1">
      <c r="A788" s="1334"/>
      <c r="B788" s="1290"/>
      <c r="C788" s="1290"/>
      <c r="G788" s="1290"/>
      <c r="H788" s="1290"/>
      <c r="I788" s="1290"/>
      <c r="J788" s="1290"/>
      <c r="K788" s="1290"/>
      <c r="L788" s="1290"/>
      <c r="M788" s="1290"/>
      <c r="N788" s="1290"/>
      <c r="O788" s="1290"/>
      <c r="P788" s="1290"/>
    </row>
    <row r="789" spans="1:16" s="1335" customFormat="1">
      <c r="A789" s="1334"/>
      <c r="B789" s="1290"/>
      <c r="C789" s="1290"/>
      <c r="G789" s="1290"/>
      <c r="H789" s="1290"/>
      <c r="I789" s="1290"/>
      <c r="J789" s="1290"/>
      <c r="K789" s="1290"/>
      <c r="L789" s="1290"/>
      <c r="M789" s="1290"/>
      <c r="N789" s="1290"/>
      <c r="O789" s="1290"/>
      <c r="P789" s="1290"/>
    </row>
    <row r="790" spans="1:16" s="1335" customFormat="1">
      <c r="A790" s="1334"/>
      <c r="B790" s="1290"/>
      <c r="C790" s="1290"/>
      <c r="G790" s="1290"/>
      <c r="H790" s="1290"/>
      <c r="I790" s="1290"/>
      <c r="J790" s="1290"/>
      <c r="K790" s="1290"/>
      <c r="L790" s="1290"/>
      <c r="M790" s="1290"/>
      <c r="N790" s="1290"/>
      <c r="O790" s="1290"/>
      <c r="P790" s="1290"/>
    </row>
    <row r="791" spans="1:16" s="1335" customFormat="1">
      <c r="A791" s="1334"/>
      <c r="B791" s="1290"/>
      <c r="C791" s="1290"/>
      <c r="G791" s="1290"/>
      <c r="H791" s="1290"/>
      <c r="I791" s="1290"/>
      <c r="J791" s="1290"/>
      <c r="K791" s="1290"/>
      <c r="L791" s="1290"/>
      <c r="M791" s="1290"/>
      <c r="N791" s="1290"/>
      <c r="O791" s="1290"/>
      <c r="P791" s="1290"/>
    </row>
    <row r="792" spans="1:16" s="1335" customFormat="1">
      <c r="A792" s="1334"/>
      <c r="B792" s="1290"/>
      <c r="C792" s="1290"/>
      <c r="G792" s="1290"/>
      <c r="H792" s="1290"/>
      <c r="I792" s="1290"/>
      <c r="J792" s="1290"/>
      <c r="K792" s="1290"/>
      <c r="L792" s="1290"/>
      <c r="M792" s="1290"/>
      <c r="N792" s="1290"/>
      <c r="O792" s="1290"/>
      <c r="P792" s="1290"/>
    </row>
    <row r="793" spans="1:16" s="1335" customFormat="1">
      <c r="A793" s="1334"/>
      <c r="B793" s="1290"/>
      <c r="C793" s="1290"/>
      <c r="G793" s="1290"/>
      <c r="H793" s="1290"/>
      <c r="I793" s="1290"/>
      <c r="J793" s="1290"/>
      <c r="K793" s="1290"/>
      <c r="L793" s="1290"/>
      <c r="M793" s="1290"/>
      <c r="N793" s="1290"/>
      <c r="O793" s="1290"/>
      <c r="P793" s="1290"/>
    </row>
    <row r="794" spans="1:16" s="1335" customFormat="1">
      <c r="A794" s="1334"/>
      <c r="B794" s="1290"/>
      <c r="C794" s="1290"/>
      <c r="G794" s="1290"/>
      <c r="H794" s="1290"/>
      <c r="I794" s="1290"/>
      <c r="J794" s="1290"/>
      <c r="K794" s="1290"/>
      <c r="L794" s="1290"/>
      <c r="M794" s="1290"/>
      <c r="N794" s="1290"/>
      <c r="O794" s="1290"/>
      <c r="P794" s="1290"/>
    </row>
    <row r="795" spans="1:16" s="1335" customFormat="1">
      <c r="A795" s="1334"/>
      <c r="B795" s="1290"/>
      <c r="C795" s="1290"/>
      <c r="G795" s="1290"/>
      <c r="H795" s="1290"/>
      <c r="I795" s="1290"/>
      <c r="J795" s="1290"/>
      <c r="K795" s="1290"/>
      <c r="L795" s="1290"/>
      <c r="M795" s="1290"/>
      <c r="N795" s="1290"/>
      <c r="O795" s="1290"/>
      <c r="P795" s="1290"/>
    </row>
    <row r="796" spans="1:16" s="1335" customFormat="1">
      <c r="A796" s="1334"/>
      <c r="B796" s="1290"/>
      <c r="C796" s="1290"/>
      <c r="G796" s="1290"/>
      <c r="H796" s="1290"/>
      <c r="I796" s="1290"/>
      <c r="J796" s="1290"/>
      <c r="K796" s="1290"/>
      <c r="L796" s="1290"/>
      <c r="M796" s="1290"/>
      <c r="N796" s="1290"/>
      <c r="O796" s="1290"/>
      <c r="P796" s="1290"/>
    </row>
    <row r="797" spans="1:16" s="1335" customFormat="1">
      <c r="A797" s="1334"/>
      <c r="B797" s="1290"/>
      <c r="C797" s="1290"/>
      <c r="G797" s="1290"/>
      <c r="H797" s="1290"/>
      <c r="I797" s="1290"/>
      <c r="J797" s="1290"/>
      <c r="K797" s="1290"/>
      <c r="L797" s="1290"/>
      <c r="M797" s="1290"/>
      <c r="N797" s="1290"/>
      <c r="O797" s="1290"/>
      <c r="P797" s="1290"/>
    </row>
    <row r="798" spans="1:16" s="1335" customFormat="1">
      <c r="A798" s="1334"/>
      <c r="B798" s="1290"/>
      <c r="C798" s="1290"/>
      <c r="G798" s="1290"/>
      <c r="H798" s="1290"/>
      <c r="I798" s="1290"/>
      <c r="J798" s="1290"/>
      <c r="K798" s="1290"/>
      <c r="L798" s="1290"/>
      <c r="M798" s="1290"/>
      <c r="N798" s="1290"/>
      <c r="O798" s="1290"/>
      <c r="P798" s="1290"/>
    </row>
    <row r="799" spans="1:16" s="1335" customFormat="1">
      <c r="A799" s="1334"/>
      <c r="B799" s="1290"/>
      <c r="C799" s="1290"/>
      <c r="G799" s="1290"/>
      <c r="H799" s="1290"/>
      <c r="I799" s="1290"/>
      <c r="J799" s="1290"/>
      <c r="K799" s="1290"/>
      <c r="L799" s="1290"/>
      <c r="M799" s="1290"/>
      <c r="N799" s="1290"/>
      <c r="O799" s="1290"/>
      <c r="P799" s="1290"/>
    </row>
    <row r="800" spans="1:16" s="1335" customFormat="1">
      <c r="A800" s="1334"/>
      <c r="B800" s="1290"/>
      <c r="C800" s="1290"/>
      <c r="G800" s="1290"/>
      <c r="H800" s="1290"/>
      <c r="I800" s="1290"/>
      <c r="J800" s="1290"/>
      <c r="K800" s="1290"/>
      <c r="L800" s="1290"/>
      <c r="M800" s="1290"/>
      <c r="N800" s="1290"/>
      <c r="O800" s="1290"/>
      <c r="P800" s="1290"/>
    </row>
    <row r="801" spans="1:16" s="1335" customFormat="1">
      <c r="A801" s="1334"/>
      <c r="B801" s="1290"/>
      <c r="C801" s="1290"/>
      <c r="G801" s="1290"/>
      <c r="H801" s="1290"/>
      <c r="I801" s="1290"/>
      <c r="J801" s="1290"/>
      <c r="K801" s="1290"/>
      <c r="L801" s="1290"/>
      <c r="M801" s="1290"/>
      <c r="N801" s="1290"/>
      <c r="O801" s="1290"/>
      <c r="P801" s="1290"/>
    </row>
    <row r="802" spans="1:16" s="1335" customFormat="1">
      <c r="A802" s="1334"/>
      <c r="B802" s="1290"/>
      <c r="C802" s="1290"/>
      <c r="G802" s="1290"/>
      <c r="H802" s="1290"/>
      <c r="I802" s="1290"/>
      <c r="J802" s="1290"/>
      <c r="K802" s="1290"/>
      <c r="L802" s="1290"/>
      <c r="M802" s="1290"/>
      <c r="N802" s="1290"/>
      <c r="O802" s="1290"/>
      <c r="P802" s="1290"/>
    </row>
    <row r="803" spans="1:16" s="1335" customFormat="1">
      <c r="A803" s="1334"/>
      <c r="B803" s="1290"/>
      <c r="C803" s="1290"/>
      <c r="G803" s="1290"/>
      <c r="H803" s="1290"/>
      <c r="I803" s="1290"/>
      <c r="J803" s="1290"/>
      <c r="K803" s="1290"/>
      <c r="L803" s="1290"/>
      <c r="M803" s="1290"/>
      <c r="N803" s="1290"/>
      <c r="O803" s="1290"/>
      <c r="P803" s="1290"/>
    </row>
    <row r="804" spans="1:16" s="1335" customFormat="1">
      <c r="A804" s="1334"/>
      <c r="B804" s="1290"/>
      <c r="C804" s="1290"/>
      <c r="G804" s="1290"/>
      <c r="H804" s="1290"/>
      <c r="I804" s="1290"/>
      <c r="J804" s="1290"/>
      <c r="K804" s="1290"/>
      <c r="L804" s="1290"/>
      <c r="M804" s="1290"/>
      <c r="N804" s="1290"/>
      <c r="O804" s="1290"/>
      <c r="P804" s="1290"/>
    </row>
    <row r="805" spans="1:16" s="1335" customFormat="1">
      <c r="A805" s="1334"/>
      <c r="B805" s="1290"/>
      <c r="C805" s="1290"/>
      <c r="G805" s="1290"/>
      <c r="H805" s="1290"/>
      <c r="I805" s="1290"/>
      <c r="J805" s="1290"/>
      <c r="K805" s="1290"/>
      <c r="L805" s="1290"/>
      <c r="M805" s="1290"/>
      <c r="N805" s="1290"/>
      <c r="O805" s="1290"/>
      <c r="P805" s="1290"/>
    </row>
    <row r="806" spans="1:16" s="1335" customFormat="1">
      <c r="A806" s="1334"/>
      <c r="B806" s="1290"/>
      <c r="C806" s="1290"/>
      <c r="G806" s="1290"/>
      <c r="H806" s="1290"/>
      <c r="I806" s="1290"/>
      <c r="J806" s="1290"/>
      <c r="K806" s="1290"/>
      <c r="L806" s="1290"/>
      <c r="M806" s="1290"/>
      <c r="N806" s="1290"/>
      <c r="O806" s="1290"/>
      <c r="P806" s="1290"/>
    </row>
    <row r="807" spans="1:16" s="1335" customFormat="1">
      <c r="A807" s="1334"/>
      <c r="B807" s="1290"/>
      <c r="C807" s="1290"/>
      <c r="G807" s="1290"/>
      <c r="H807" s="1290"/>
      <c r="I807" s="1290"/>
      <c r="J807" s="1290"/>
      <c r="K807" s="1290"/>
      <c r="L807" s="1290"/>
      <c r="M807" s="1290"/>
      <c r="N807" s="1290"/>
      <c r="O807" s="1290"/>
      <c r="P807" s="1290"/>
    </row>
    <row r="808" spans="1:16" s="1335" customFormat="1">
      <c r="A808" s="1334"/>
      <c r="B808" s="1290"/>
      <c r="C808" s="1290"/>
      <c r="G808" s="1290"/>
      <c r="H808" s="1290"/>
      <c r="I808" s="1290"/>
      <c r="J808" s="1290"/>
      <c r="K808" s="1290"/>
      <c r="L808" s="1290"/>
      <c r="M808" s="1290"/>
      <c r="N808" s="1290"/>
      <c r="O808" s="1290"/>
      <c r="P808" s="1290"/>
    </row>
    <row r="809" spans="1:16" s="1335" customFormat="1">
      <c r="A809" s="1334"/>
      <c r="B809" s="1290"/>
      <c r="C809" s="1290"/>
      <c r="G809" s="1290"/>
      <c r="H809" s="1290"/>
      <c r="I809" s="1290"/>
      <c r="J809" s="1290"/>
      <c r="K809" s="1290"/>
      <c r="L809" s="1290"/>
      <c r="M809" s="1290"/>
      <c r="N809" s="1290"/>
      <c r="O809" s="1290"/>
      <c r="P809" s="1290"/>
    </row>
    <row r="810" spans="1:16" s="1335" customFormat="1">
      <c r="A810" s="1334"/>
      <c r="B810" s="1290"/>
      <c r="C810" s="1290"/>
      <c r="G810" s="1290"/>
      <c r="H810" s="1290"/>
      <c r="I810" s="1290"/>
      <c r="J810" s="1290"/>
      <c r="K810" s="1290"/>
      <c r="L810" s="1290"/>
      <c r="M810" s="1290"/>
      <c r="N810" s="1290"/>
      <c r="O810" s="1290"/>
      <c r="P810" s="1290"/>
    </row>
    <row r="811" spans="1:16" s="1335" customFormat="1">
      <c r="A811" s="1334"/>
      <c r="B811" s="1290"/>
      <c r="C811" s="1290"/>
      <c r="G811" s="1290"/>
      <c r="H811" s="1290"/>
      <c r="I811" s="1290"/>
      <c r="J811" s="1290"/>
      <c r="K811" s="1290"/>
      <c r="L811" s="1290"/>
      <c r="M811" s="1290"/>
      <c r="N811" s="1290"/>
      <c r="O811" s="1290"/>
      <c r="P811" s="1290"/>
    </row>
    <row r="812" spans="1:16" s="1335" customFormat="1">
      <c r="A812" s="1334"/>
      <c r="B812" s="1290"/>
      <c r="C812" s="1290"/>
      <c r="G812" s="1290"/>
      <c r="H812" s="1290"/>
      <c r="I812" s="1290"/>
      <c r="J812" s="1290"/>
      <c r="K812" s="1290"/>
      <c r="L812" s="1290"/>
      <c r="M812" s="1290"/>
      <c r="N812" s="1290"/>
      <c r="O812" s="1290"/>
      <c r="P812" s="1290"/>
    </row>
    <row r="813" spans="1:16" s="1335" customFormat="1">
      <c r="A813" s="1334"/>
      <c r="B813" s="1290"/>
      <c r="C813" s="1290"/>
      <c r="G813" s="1290"/>
      <c r="H813" s="1290"/>
      <c r="I813" s="1290"/>
      <c r="J813" s="1290"/>
      <c r="K813" s="1290"/>
      <c r="L813" s="1290"/>
      <c r="M813" s="1290"/>
      <c r="N813" s="1290"/>
      <c r="O813" s="1290"/>
      <c r="P813" s="1290"/>
    </row>
    <row r="814" spans="1:16" s="1335" customFormat="1">
      <c r="A814" s="1334"/>
      <c r="B814" s="1290"/>
      <c r="C814" s="1290"/>
      <c r="G814" s="1290"/>
      <c r="H814" s="1290"/>
      <c r="I814" s="1290"/>
      <c r="J814" s="1290"/>
      <c r="K814" s="1290"/>
      <c r="L814" s="1290"/>
      <c r="M814" s="1290"/>
      <c r="N814" s="1290"/>
      <c r="O814" s="1290"/>
      <c r="P814" s="1290"/>
    </row>
    <row r="815" spans="1:16" s="1335" customFormat="1">
      <c r="A815" s="1334"/>
      <c r="B815" s="1290"/>
      <c r="C815" s="1290"/>
      <c r="G815" s="1290"/>
      <c r="H815" s="1290"/>
      <c r="I815" s="1290"/>
      <c r="J815" s="1290"/>
      <c r="K815" s="1290"/>
      <c r="L815" s="1290"/>
      <c r="M815" s="1290"/>
      <c r="N815" s="1290"/>
      <c r="O815" s="1290"/>
      <c r="P815" s="1290"/>
    </row>
    <row r="816" spans="1:16" s="1335" customFormat="1">
      <c r="A816" s="1334"/>
      <c r="B816" s="1290"/>
      <c r="C816" s="1290"/>
      <c r="G816" s="1290"/>
      <c r="H816" s="1290"/>
      <c r="I816" s="1290"/>
      <c r="J816" s="1290"/>
      <c r="K816" s="1290"/>
      <c r="L816" s="1290"/>
      <c r="M816" s="1290"/>
      <c r="N816" s="1290"/>
      <c r="O816" s="1290"/>
      <c r="P816" s="1290"/>
    </row>
    <row r="817" spans="1:16" s="1335" customFormat="1">
      <c r="A817" s="1334"/>
      <c r="B817" s="1290"/>
      <c r="C817" s="1290"/>
      <c r="G817" s="1290"/>
      <c r="H817" s="1290"/>
      <c r="I817" s="1290"/>
      <c r="J817" s="1290"/>
      <c r="K817" s="1290"/>
      <c r="L817" s="1290"/>
      <c r="M817" s="1290"/>
      <c r="N817" s="1290"/>
      <c r="O817" s="1290"/>
      <c r="P817" s="1290"/>
    </row>
    <row r="818" spans="1:16" s="1335" customFormat="1">
      <c r="A818" s="1334"/>
      <c r="B818" s="1290"/>
      <c r="C818" s="1290"/>
      <c r="G818" s="1290"/>
      <c r="H818" s="1290"/>
      <c r="I818" s="1290"/>
      <c r="J818" s="1290"/>
      <c r="K818" s="1290"/>
      <c r="L818" s="1290"/>
      <c r="M818" s="1290"/>
      <c r="N818" s="1290"/>
      <c r="O818" s="1290"/>
      <c r="P818" s="1290"/>
    </row>
    <row r="819" spans="1:16" s="1335" customFormat="1">
      <c r="A819" s="1334"/>
      <c r="B819" s="1290"/>
      <c r="C819" s="1290"/>
      <c r="G819" s="1290"/>
      <c r="H819" s="1290"/>
      <c r="I819" s="1290"/>
      <c r="J819" s="1290"/>
      <c r="K819" s="1290"/>
      <c r="L819" s="1290"/>
      <c r="M819" s="1290"/>
      <c r="N819" s="1290"/>
      <c r="O819" s="1290"/>
      <c r="P819" s="1290"/>
    </row>
    <row r="820" spans="1:16" s="1335" customFormat="1">
      <c r="A820" s="1334"/>
      <c r="B820" s="1290"/>
      <c r="C820" s="1290"/>
      <c r="G820" s="1290"/>
      <c r="H820" s="1290"/>
      <c r="I820" s="1290"/>
      <c r="J820" s="1290"/>
      <c r="K820" s="1290"/>
      <c r="L820" s="1290"/>
      <c r="M820" s="1290"/>
      <c r="N820" s="1290"/>
      <c r="O820" s="1290"/>
      <c r="P820" s="1290"/>
    </row>
    <row r="821" spans="1:16" s="1335" customFormat="1">
      <c r="A821" s="1334"/>
      <c r="B821" s="1290"/>
      <c r="C821" s="1290"/>
      <c r="G821" s="1290"/>
      <c r="H821" s="1290"/>
      <c r="I821" s="1290"/>
      <c r="J821" s="1290"/>
      <c r="K821" s="1290"/>
      <c r="L821" s="1290"/>
      <c r="M821" s="1290"/>
      <c r="N821" s="1290"/>
      <c r="O821" s="1290"/>
      <c r="P821" s="1290"/>
    </row>
    <row r="822" spans="1:16" s="1335" customFormat="1">
      <c r="A822" s="1334"/>
      <c r="B822" s="1290"/>
      <c r="C822" s="1290"/>
      <c r="G822" s="1290"/>
      <c r="H822" s="1290"/>
      <c r="I822" s="1290"/>
      <c r="J822" s="1290"/>
      <c r="K822" s="1290"/>
      <c r="L822" s="1290"/>
      <c r="M822" s="1290"/>
      <c r="N822" s="1290"/>
      <c r="O822" s="1290"/>
      <c r="P822" s="1290"/>
    </row>
    <row r="823" spans="1:16" s="1335" customFormat="1">
      <c r="A823" s="1334"/>
      <c r="B823" s="1290"/>
      <c r="C823" s="1290"/>
      <c r="G823" s="1290"/>
      <c r="H823" s="1290"/>
      <c r="I823" s="1290"/>
      <c r="J823" s="1290"/>
      <c r="K823" s="1290"/>
      <c r="L823" s="1290"/>
      <c r="M823" s="1290"/>
      <c r="N823" s="1290"/>
      <c r="O823" s="1290"/>
      <c r="P823" s="1290"/>
    </row>
    <row r="824" spans="1:16" s="1335" customFormat="1">
      <c r="A824" s="1334"/>
      <c r="B824" s="1290"/>
      <c r="C824" s="1290"/>
      <c r="G824" s="1290"/>
      <c r="H824" s="1290"/>
      <c r="I824" s="1290"/>
      <c r="J824" s="1290"/>
      <c r="K824" s="1290"/>
      <c r="L824" s="1290"/>
      <c r="M824" s="1290"/>
      <c r="N824" s="1290"/>
      <c r="O824" s="1290"/>
      <c r="P824" s="1290"/>
    </row>
    <row r="825" spans="1:16" s="1335" customFormat="1">
      <c r="A825" s="1334"/>
      <c r="B825" s="1290"/>
      <c r="C825" s="1290"/>
      <c r="G825" s="1290"/>
      <c r="H825" s="1290"/>
      <c r="I825" s="1290"/>
      <c r="J825" s="1290"/>
      <c r="K825" s="1290"/>
      <c r="L825" s="1290"/>
      <c r="M825" s="1290"/>
      <c r="N825" s="1290"/>
      <c r="O825" s="1290"/>
      <c r="P825" s="1290"/>
    </row>
    <row r="826" spans="1:16" s="1335" customFormat="1">
      <c r="A826" s="1334"/>
      <c r="B826" s="1290"/>
      <c r="C826" s="1290"/>
      <c r="G826" s="1290"/>
      <c r="H826" s="1290"/>
      <c r="I826" s="1290"/>
      <c r="J826" s="1290"/>
      <c r="K826" s="1290"/>
      <c r="L826" s="1290"/>
      <c r="M826" s="1290"/>
      <c r="N826" s="1290"/>
      <c r="O826" s="1290"/>
      <c r="P826" s="1290"/>
    </row>
    <row r="827" spans="1:16" s="1335" customFormat="1">
      <c r="A827" s="1334"/>
      <c r="B827" s="1290"/>
      <c r="C827" s="1290"/>
      <c r="G827" s="1290"/>
      <c r="H827" s="1290"/>
      <c r="I827" s="1290"/>
      <c r="J827" s="1290"/>
      <c r="K827" s="1290"/>
      <c r="L827" s="1290"/>
      <c r="M827" s="1290"/>
      <c r="N827" s="1290"/>
      <c r="O827" s="1290"/>
      <c r="P827" s="1290"/>
    </row>
    <row r="828" spans="1:16" s="1335" customFormat="1">
      <c r="A828" s="1334"/>
      <c r="B828" s="1290"/>
      <c r="C828" s="1290"/>
      <c r="G828" s="1290"/>
      <c r="H828" s="1290"/>
      <c r="I828" s="1290"/>
      <c r="J828" s="1290"/>
      <c r="K828" s="1290"/>
      <c r="L828" s="1290"/>
      <c r="M828" s="1290"/>
      <c r="N828" s="1290"/>
      <c r="O828" s="1290"/>
      <c r="P828" s="1290"/>
    </row>
    <row r="829" spans="1:16" s="1335" customFormat="1">
      <c r="A829" s="1334"/>
      <c r="B829" s="1290"/>
      <c r="C829" s="1290"/>
      <c r="G829" s="1290"/>
      <c r="H829" s="1290"/>
      <c r="I829" s="1290"/>
      <c r="J829" s="1290"/>
      <c r="K829" s="1290"/>
      <c r="L829" s="1290"/>
      <c r="M829" s="1290"/>
      <c r="N829" s="1290"/>
      <c r="O829" s="1290"/>
      <c r="P829" s="1290"/>
    </row>
    <row r="830" spans="1:16" s="1335" customFormat="1">
      <c r="A830" s="1334"/>
      <c r="B830" s="1290"/>
      <c r="C830" s="1290"/>
      <c r="G830" s="1290"/>
      <c r="H830" s="1290"/>
      <c r="I830" s="1290"/>
      <c r="J830" s="1290"/>
      <c r="K830" s="1290"/>
      <c r="L830" s="1290"/>
      <c r="M830" s="1290"/>
      <c r="N830" s="1290"/>
      <c r="O830" s="1290"/>
      <c r="P830" s="1290"/>
    </row>
    <row r="831" spans="1:16" s="1335" customFormat="1">
      <c r="A831" s="1334"/>
      <c r="B831" s="1290"/>
      <c r="C831" s="1290"/>
      <c r="G831" s="1290"/>
      <c r="H831" s="1290"/>
      <c r="I831" s="1290"/>
      <c r="J831" s="1290"/>
      <c r="K831" s="1290"/>
      <c r="L831" s="1290"/>
      <c r="M831" s="1290"/>
      <c r="N831" s="1290"/>
      <c r="O831" s="1290"/>
      <c r="P831" s="1290"/>
    </row>
    <row r="832" spans="1:16" s="1335" customFormat="1">
      <c r="A832" s="1334"/>
      <c r="B832" s="1290"/>
      <c r="C832" s="1290"/>
      <c r="G832" s="1290"/>
      <c r="H832" s="1290"/>
      <c r="I832" s="1290"/>
      <c r="J832" s="1290"/>
      <c r="K832" s="1290"/>
      <c r="L832" s="1290"/>
      <c r="M832" s="1290"/>
      <c r="N832" s="1290"/>
      <c r="O832" s="1290"/>
      <c r="P832" s="1290"/>
    </row>
    <row r="833" spans="1:16" s="1335" customFormat="1">
      <c r="A833" s="1334"/>
      <c r="B833" s="1290"/>
      <c r="C833" s="1290"/>
      <c r="G833" s="1290"/>
      <c r="H833" s="1290"/>
      <c r="I833" s="1290"/>
      <c r="J833" s="1290"/>
      <c r="K833" s="1290"/>
      <c r="L833" s="1290"/>
      <c r="M833" s="1290"/>
      <c r="N833" s="1290"/>
      <c r="O833" s="1290"/>
      <c r="P833" s="1290"/>
    </row>
    <row r="834" spans="1:16" s="1335" customFormat="1">
      <c r="A834" s="1334"/>
      <c r="B834" s="1290"/>
      <c r="C834" s="1290"/>
      <c r="G834" s="1290"/>
      <c r="H834" s="1290"/>
      <c r="I834" s="1290"/>
      <c r="J834" s="1290"/>
      <c r="K834" s="1290"/>
      <c r="L834" s="1290"/>
      <c r="M834" s="1290"/>
      <c r="N834" s="1290"/>
      <c r="O834" s="1290"/>
      <c r="P834" s="1290"/>
    </row>
    <row r="835" spans="1:16" s="1335" customFormat="1">
      <c r="A835" s="1334"/>
      <c r="B835" s="1290"/>
      <c r="C835" s="1290"/>
      <c r="G835" s="1290"/>
      <c r="H835" s="1290"/>
      <c r="I835" s="1290"/>
      <c r="J835" s="1290"/>
      <c r="K835" s="1290"/>
      <c r="L835" s="1290"/>
      <c r="M835" s="1290"/>
      <c r="N835" s="1290"/>
      <c r="O835" s="1290"/>
      <c r="P835" s="1290"/>
    </row>
    <row r="836" spans="1:16" s="1335" customFormat="1">
      <c r="A836" s="1334"/>
      <c r="B836" s="1290"/>
      <c r="C836" s="1290"/>
      <c r="G836" s="1290"/>
      <c r="H836" s="1290"/>
      <c r="I836" s="1290"/>
      <c r="J836" s="1290"/>
      <c r="K836" s="1290"/>
      <c r="L836" s="1290"/>
      <c r="M836" s="1290"/>
      <c r="N836" s="1290"/>
      <c r="O836" s="1290"/>
      <c r="P836" s="1290"/>
    </row>
    <row r="837" spans="1:16" s="1335" customFormat="1">
      <c r="A837" s="1334"/>
      <c r="B837" s="1290"/>
      <c r="C837" s="1290"/>
      <c r="G837" s="1290"/>
      <c r="H837" s="1290"/>
      <c r="I837" s="1290"/>
      <c r="J837" s="1290"/>
      <c r="K837" s="1290"/>
      <c r="L837" s="1290"/>
      <c r="M837" s="1290"/>
      <c r="N837" s="1290"/>
      <c r="O837" s="1290"/>
      <c r="P837" s="1290"/>
    </row>
    <row r="838" spans="1:16" s="1335" customFormat="1">
      <c r="A838" s="1334"/>
      <c r="B838" s="1290"/>
      <c r="C838" s="1290"/>
      <c r="G838" s="1290"/>
      <c r="H838" s="1290"/>
      <c r="I838" s="1290"/>
      <c r="J838" s="1290"/>
      <c r="K838" s="1290"/>
      <c r="L838" s="1290"/>
      <c r="M838" s="1290"/>
      <c r="N838" s="1290"/>
      <c r="O838" s="1290"/>
      <c r="P838" s="1290"/>
    </row>
    <row r="839" spans="1:16" s="1335" customFormat="1">
      <c r="A839" s="1334"/>
      <c r="B839" s="1290"/>
      <c r="C839" s="1290"/>
      <c r="G839" s="1290"/>
      <c r="H839" s="1290"/>
      <c r="I839" s="1290"/>
      <c r="J839" s="1290"/>
      <c r="K839" s="1290"/>
      <c r="L839" s="1290"/>
      <c r="M839" s="1290"/>
      <c r="N839" s="1290"/>
      <c r="O839" s="1290"/>
      <c r="P839" s="1290"/>
    </row>
    <row r="840" spans="1:16" s="1335" customFormat="1">
      <c r="A840" s="1334"/>
      <c r="B840" s="1290"/>
      <c r="C840" s="1290"/>
      <c r="G840" s="1290"/>
      <c r="H840" s="1290"/>
      <c r="I840" s="1290"/>
      <c r="J840" s="1290"/>
      <c r="K840" s="1290"/>
      <c r="L840" s="1290"/>
      <c r="M840" s="1290"/>
      <c r="N840" s="1290"/>
      <c r="O840" s="1290"/>
      <c r="P840" s="1290"/>
    </row>
    <row r="841" spans="1:16" s="1335" customFormat="1">
      <c r="A841" s="1334"/>
      <c r="B841" s="1290"/>
      <c r="C841" s="1290"/>
      <c r="G841" s="1290"/>
      <c r="H841" s="1290"/>
      <c r="I841" s="1290"/>
      <c r="J841" s="1290"/>
      <c r="K841" s="1290"/>
      <c r="L841" s="1290"/>
      <c r="M841" s="1290"/>
      <c r="N841" s="1290"/>
      <c r="O841" s="1290"/>
      <c r="P841" s="1290"/>
    </row>
    <row r="842" spans="1:16" s="1335" customFormat="1">
      <c r="A842" s="1334"/>
      <c r="B842" s="1290"/>
      <c r="C842" s="1290"/>
      <c r="G842" s="1290"/>
      <c r="H842" s="1290"/>
      <c r="I842" s="1290"/>
      <c r="J842" s="1290"/>
      <c r="K842" s="1290"/>
      <c r="L842" s="1290"/>
      <c r="M842" s="1290"/>
      <c r="N842" s="1290"/>
      <c r="O842" s="1290"/>
      <c r="P842" s="1290"/>
    </row>
    <row r="843" spans="1:16" s="1335" customFormat="1">
      <c r="A843" s="1334"/>
      <c r="B843" s="1290"/>
      <c r="C843" s="1290"/>
      <c r="G843" s="1290"/>
      <c r="H843" s="1290"/>
      <c r="I843" s="1290"/>
      <c r="J843" s="1290"/>
      <c r="K843" s="1290"/>
      <c r="L843" s="1290"/>
      <c r="M843" s="1290"/>
      <c r="N843" s="1290"/>
      <c r="O843" s="1290"/>
      <c r="P843" s="1290"/>
    </row>
    <row r="844" spans="1:16" s="1335" customFormat="1">
      <c r="A844" s="1334"/>
      <c r="B844" s="1290"/>
      <c r="C844" s="1290"/>
      <c r="G844" s="1290"/>
      <c r="H844" s="1290"/>
      <c r="I844" s="1290"/>
      <c r="J844" s="1290"/>
      <c r="K844" s="1290"/>
      <c r="L844" s="1290"/>
      <c r="M844" s="1290"/>
      <c r="N844" s="1290"/>
      <c r="O844" s="1290"/>
      <c r="P844" s="1290"/>
    </row>
    <row r="845" spans="1:16" s="1335" customFormat="1">
      <c r="A845" s="1334"/>
      <c r="B845" s="1290"/>
      <c r="C845" s="1290"/>
      <c r="G845" s="1290"/>
      <c r="H845" s="1290"/>
      <c r="I845" s="1290"/>
      <c r="J845" s="1290"/>
      <c r="K845" s="1290"/>
      <c r="L845" s="1290"/>
      <c r="M845" s="1290"/>
      <c r="N845" s="1290"/>
      <c r="O845" s="1290"/>
      <c r="P845" s="1290"/>
    </row>
    <row r="846" spans="1:16" s="1335" customFormat="1">
      <c r="A846" s="1334"/>
      <c r="B846" s="1290"/>
      <c r="C846" s="1290"/>
      <c r="G846" s="1290"/>
      <c r="H846" s="1290"/>
      <c r="I846" s="1290"/>
      <c r="J846" s="1290"/>
      <c r="K846" s="1290"/>
      <c r="L846" s="1290"/>
      <c r="M846" s="1290"/>
      <c r="N846" s="1290"/>
      <c r="O846" s="1290"/>
      <c r="P846" s="1290"/>
    </row>
    <row r="847" spans="1:16" s="1335" customFormat="1">
      <c r="A847" s="1334"/>
      <c r="B847" s="1290"/>
      <c r="C847" s="1290"/>
      <c r="G847" s="1290"/>
      <c r="H847" s="1290"/>
      <c r="I847" s="1290"/>
      <c r="J847" s="1290"/>
      <c r="K847" s="1290"/>
      <c r="L847" s="1290"/>
      <c r="M847" s="1290"/>
      <c r="N847" s="1290"/>
      <c r="O847" s="1290"/>
      <c r="P847" s="1290"/>
    </row>
    <row r="848" spans="1:16" s="1335" customFormat="1">
      <c r="A848" s="1334"/>
      <c r="B848" s="1290"/>
      <c r="C848" s="1290"/>
      <c r="G848" s="1290"/>
      <c r="H848" s="1290"/>
      <c r="I848" s="1290"/>
      <c r="J848" s="1290"/>
      <c r="K848" s="1290"/>
      <c r="L848" s="1290"/>
      <c r="M848" s="1290"/>
      <c r="N848" s="1290"/>
      <c r="O848" s="1290"/>
      <c r="P848" s="1290"/>
    </row>
    <row r="849" spans="1:16" s="1335" customFormat="1">
      <c r="A849" s="1334"/>
      <c r="B849" s="1290"/>
      <c r="C849" s="1290"/>
      <c r="G849" s="1290"/>
      <c r="H849" s="1290"/>
      <c r="I849" s="1290"/>
      <c r="J849" s="1290"/>
      <c r="K849" s="1290"/>
      <c r="L849" s="1290"/>
      <c r="M849" s="1290"/>
      <c r="N849" s="1290"/>
      <c r="O849" s="1290"/>
      <c r="P849" s="1290"/>
    </row>
    <row r="850" spans="1:16" s="1335" customFormat="1">
      <c r="A850" s="1334"/>
      <c r="B850" s="1290"/>
      <c r="C850" s="1290"/>
      <c r="G850" s="1290"/>
      <c r="H850" s="1290"/>
      <c r="I850" s="1290"/>
      <c r="J850" s="1290"/>
      <c r="K850" s="1290"/>
      <c r="L850" s="1290"/>
      <c r="M850" s="1290"/>
      <c r="N850" s="1290"/>
      <c r="O850" s="1290"/>
      <c r="P850" s="1290"/>
    </row>
    <row r="851" spans="1:16" s="1335" customFormat="1">
      <c r="A851" s="1334"/>
      <c r="B851" s="1290"/>
      <c r="C851" s="1290"/>
      <c r="G851" s="1290"/>
      <c r="H851" s="1290"/>
      <c r="I851" s="1290"/>
      <c r="J851" s="1290"/>
      <c r="K851" s="1290"/>
      <c r="L851" s="1290"/>
      <c r="M851" s="1290"/>
      <c r="N851" s="1290"/>
      <c r="O851" s="1290"/>
      <c r="P851" s="1290"/>
    </row>
    <row r="852" spans="1:16" s="1335" customFormat="1">
      <c r="A852" s="1334"/>
      <c r="B852" s="1290"/>
      <c r="C852" s="1290"/>
      <c r="G852" s="1290"/>
      <c r="H852" s="1290"/>
      <c r="I852" s="1290"/>
      <c r="J852" s="1290"/>
      <c r="K852" s="1290"/>
      <c r="L852" s="1290"/>
      <c r="M852" s="1290"/>
      <c r="N852" s="1290"/>
      <c r="O852" s="1290"/>
      <c r="P852" s="1290"/>
    </row>
    <row r="853" spans="1:16" s="1335" customFormat="1">
      <c r="A853" s="1334"/>
      <c r="B853" s="1290"/>
      <c r="C853" s="1290"/>
      <c r="G853" s="1290"/>
      <c r="H853" s="1290"/>
      <c r="I853" s="1290"/>
      <c r="J853" s="1290"/>
      <c r="K853" s="1290"/>
      <c r="L853" s="1290"/>
      <c r="M853" s="1290"/>
      <c r="N853" s="1290"/>
      <c r="O853" s="1290"/>
      <c r="P853" s="1290"/>
    </row>
    <row r="854" spans="1:16" s="1335" customFormat="1">
      <c r="A854" s="1334"/>
      <c r="B854" s="1290"/>
      <c r="C854" s="1290"/>
      <c r="G854" s="1290"/>
      <c r="H854" s="1290"/>
      <c r="I854" s="1290"/>
      <c r="J854" s="1290"/>
      <c r="K854" s="1290"/>
      <c r="L854" s="1290"/>
      <c r="M854" s="1290"/>
      <c r="N854" s="1290"/>
      <c r="O854" s="1290"/>
      <c r="P854" s="1290"/>
    </row>
    <row r="855" spans="1:16" s="1335" customFormat="1">
      <c r="A855" s="1334"/>
      <c r="B855" s="1290"/>
      <c r="C855" s="1290"/>
      <c r="G855" s="1290"/>
      <c r="H855" s="1290"/>
      <c r="I855" s="1290"/>
      <c r="J855" s="1290"/>
      <c r="K855" s="1290"/>
      <c r="L855" s="1290"/>
      <c r="M855" s="1290"/>
      <c r="N855" s="1290"/>
      <c r="O855" s="1290"/>
      <c r="P855" s="1290"/>
    </row>
    <row r="856" spans="1:16" s="1335" customFormat="1">
      <c r="A856" s="1334"/>
      <c r="B856" s="1290"/>
      <c r="C856" s="1290"/>
      <c r="G856" s="1290"/>
      <c r="H856" s="1290"/>
      <c r="I856" s="1290"/>
      <c r="J856" s="1290"/>
      <c r="K856" s="1290"/>
      <c r="L856" s="1290"/>
      <c r="M856" s="1290"/>
      <c r="N856" s="1290"/>
      <c r="O856" s="1290"/>
      <c r="P856" s="1290"/>
    </row>
    <row r="857" spans="1:16" s="1335" customFormat="1">
      <c r="A857" s="1334"/>
      <c r="B857" s="1290"/>
      <c r="C857" s="1290"/>
      <c r="G857" s="1290"/>
      <c r="H857" s="1290"/>
      <c r="I857" s="1290"/>
      <c r="J857" s="1290"/>
      <c r="K857" s="1290"/>
      <c r="L857" s="1290"/>
      <c r="M857" s="1290"/>
      <c r="N857" s="1290"/>
      <c r="O857" s="1290"/>
      <c r="P857" s="1290"/>
    </row>
    <row r="858" spans="1:16" s="1335" customFormat="1">
      <c r="A858" s="1334"/>
      <c r="B858" s="1290"/>
      <c r="C858" s="1290"/>
      <c r="G858" s="1290"/>
      <c r="H858" s="1290"/>
      <c r="I858" s="1290"/>
      <c r="J858" s="1290"/>
      <c r="K858" s="1290"/>
      <c r="L858" s="1290"/>
      <c r="M858" s="1290"/>
      <c r="N858" s="1290"/>
      <c r="O858" s="1290"/>
      <c r="P858" s="1290"/>
    </row>
    <row r="859" spans="1:16" s="1335" customFormat="1">
      <c r="A859" s="1334"/>
      <c r="B859" s="1290"/>
      <c r="C859" s="1290"/>
      <c r="G859" s="1290"/>
      <c r="H859" s="1290"/>
      <c r="I859" s="1290"/>
      <c r="J859" s="1290"/>
      <c r="K859" s="1290"/>
      <c r="L859" s="1290"/>
      <c r="M859" s="1290"/>
      <c r="N859" s="1290"/>
      <c r="O859" s="1290"/>
      <c r="P859" s="1290"/>
    </row>
    <row r="860" spans="1:16" s="1335" customFormat="1">
      <c r="A860" s="1334"/>
      <c r="B860" s="1290"/>
      <c r="C860" s="1290"/>
      <c r="G860" s="1290"/>
      <c r="H860" s="1290"/>
      <c r="I860" s="1290"/>
      <c r="J860" s="1290"/>
      <c r="K860" s="1290"/>
      <c r="L860" s="1290"/>
      <c r="M860" s="1290"/>
      <c r="N860" s="1290"/>
      <c r="O860" s="1290"/>
      <c r="P860" s="1290"/>
    </row>
    <row r="861" spans="1:16" s="1335" customFormat="1">
      <c r="A861" s="1334"/>
      <c r="B861" s="1290"/>
      <c r="C861" s="1290"/>
      <c r="G861" s="1290"/>
      <c r="H861" s="1290"/>
      <c r="I861" s="1290"/>
      <c r="J861" s="1290"/>
      <c r="K861" s="1290"/>
      <c r="L861" s="1290"/>
      <c r="M861" s="1290"/>
      <c r="N861" s="1290"/>
      <c r="O861" s="1290"/>
      <c r="P861" s="1290"/>
    </row>
    <row r="862" spans="1:16" s="1335" customFormat="1">
      <c r="A862" s="1334"/>
      <c r="B862" s="1290"/>
      <c r="C862" s="1290"/>
      <c r="G862" s="1290"/>
      <c r="H862" s="1290"/>
      <c r="I862" s="1290"/>
      <c r="J862" s="1290"/>
      <c r="K862" s="1290"/>
      <c r="L862" s="1290"/>
      <c r="M862" s="1290"/>
      <c r="N862" s="1290"/>
      <c r="O862" s="1290"/>
      <c r="P862" s="1290"/>
    </row>
    <row r="863" spans="1:16" s="1335" customFormat="1">
      <c r="A863" s="1334"/>
      <c r="B863" s="1290"/>
      <c r="C863" s="1290"/>
      <c r="G863" s="1290"/>
      <c r="H863" s="1290"/>
      <c r="I863" s="1290"/>
      <c r="J863" s="1290"/>
      <c r="K863" s="1290"/>
      <c r="L863" s="1290"/>
      <c r="M863" s="1290"/>
      <c r="N863" s="1290"/>
      <c r="O863" s="1290"/>
      <c r="P863" s="1290"/>
    </row>
    <row r="864" spans="1:16" s="1335" customFormat="1">
      <c r="A864" s="1334"/>
      <c r="B864" s="1290"/>
      <c r="C864" s="1290"/>
      <c r="G864" s="1290"/>
      <c r="H864" s="1290"/>
      <c r="I864" s="1290"/>
      <c r="J864" s="1290"/>
      <c r="K864" s="1290"/>
      <c r="L864" s="1290"/>
      <c r="M864" s="1290"/>
      <c r="N864" s="1290"/>
      <c r="O864" s="1290"/>
      <c r="P864" s="1290"/>
    </row>
    <row r="865" spans="1:16" s="1335" customFormat="1">
      <c r="A865" s="1334"/>
      <c r="B865" s="1290"/>
      <c r="C865" s="1290"/>
      <c r="G865" s="1290"/>
      <c r="H865" s="1290"/>
      <c r="I865" s="1290"/>
      <c r="J865" s="1290"/>
      <c r="K865" s="1290"/>
      <c r="L865" s="1290"/>
      <c r="M865" s="1290"/>
      <c r="N865" s="1290"/>
      <c r="O865" s="1290"/>
      <c r="P865" s="1290"/>
    </row>
    <row r="866" spans="1:16" s="1335" customFormat="1">
      <c r="A866" s="1334"/>
      <c r="B866" s="1290"/>
      <c r="C866" s="1290"/>
      <c r="G866" s="1290"/>
      <c r="H866" s="1290"/>
      <c r="I866" s="1290"/>
      <c r="J866" s="1290"/>
      <c r="K866" s="1290"/>
      <c r="L866" s="1290"/>
      <c r="M866" s="1290"/>
      <c r="N866" s="1290"/>
      <c r="O866" s="1290"/>
      <c r="P866" s="1290"/>
    </row>
    <row r="867" spans="1:16" s="1335" customFormat="1">
      <c r="A867" s="1334"/>
      <c r="B867" s="1290"/>
      <c r="C867" s="1290"/>
      <c r="G867" s="1290"/>
      <c r="H867" s="1290"/>
      <c r="I867" s="1290"/>
      <c r="J867" s="1290"/>
      <c r="K867" s="1290"/>
      <c r="L867" s="1290"/>
      <c r="M867" s="1290"/>
      <c r="N867" s="1290"/>
      <c r="O867" s="1290"/>
      <c r="P867" s="1290"/>
    </row>
    <row r="868" spans="1:16" s="1335" customFormat="1">
      <c r="A868" s="1334"/>
      <c r="B868" s="1290"/>
      <c r="C868" s="1290"/>
      <c r="G868" s="1290"/>
      <c r="H868" s="1290"/>
      <c r="I868" s="1290"/>
      <c r="J868" s="1290"/>
      <c r="K868" s="1290"/>
      <c r="L868" s="1290"/>
      <c r="M868" s="1290"/>
      <c r="N868" s="1290"/>
      <c r="O868" s="1290"/>
      <c r="P868" s="1290"/>
    </row>
    <row r="869" spans="1:16" s="1335" customFormat="1">
      <c r="A869" s="1334"/>
      <c r="B869" s="1290"/>
      <c r="C869" s="1290"/>
      <c r="G869" s="1290"/>
      <c r="H869" s="1290"/>
      <c r="I869" s="1290"/>
      <c r="J869" s="1290"/>
      <c r="K869" s="1290"/>
      <c r="L869" s="1290"/>
      <c r="M869" s="1290"/>
      <c r="N869" s="1290"/>
      <c r="O869" s="1290"/>
      <c r="P869" s="1290"/>
    </row>
    <row r="870" spans="1:16" s="1335" customFormat="1">
      <c r="A870" s="1334"/>
      <c r="B870" s="1290"/>
      <c r="C870" s="1290"/>
      <c r="G870" s="1290"/>
      <c r="H870" s="1290"/>
      <c r="I870" s="1290"/>
      <c r="J870" s="1290"/>
      <c r="K870" s="1290"/>
      <c r="L870" s="1290"/>
      <c r="M870" s="1290"/>
      <c r="N870" s="1290"/>
      <c r="O870" s="1290"/>
      <c r="P870" s="1290"/>
    </row>
    <row r="871" spans="1:16" s="1335" customFormat="1">
      <c r="A871" s="1334"/>
      <c r="B871" s="1290"/>
      <c r="C871" s="1290"/>
      <c r="G871" s="1290"/>
      <c r="H871" s="1290"/>
      <c r="I871" s="1290"/>
      <c r="J871" s="1290"/>
      <c r="K871" s="1290"/>
      <c r="L871" s="1290"/>
      <c r="M871" s="1290"/>
      <c r="N871" s="1290"/>
      <c r="O871" s="1290"/>
      <c r="P871" s="1290"/>
    </row>
    <row r="872" spans="1:16" s="1335" customFormat="1">
      <c r="A872" s="1334"/>
      <c r="B872" s="1290"/>
      <c r="C872" s="1290"/>
      <c r="G872" s="1290"/>
      <c r="H872" s="1290"/>
      <c r="I872" s="1290"/>
      <c r="J872" s="1290"/>
      <c r="K872" s="1290"/>
      <c r="L872" s="1290"/>
      <c r="M872" s="1290"/>
      <c r="N872" s="1290"/>
      <c r="O872" s="1290"/>
      <c r="P872" s="1290"/>
    </row>
    <row r="873" spans="1:16" s="1335" customFormat="1">
      <c r="A873" s="1334"/>
      <c r="B873" s="1290"/>
      <c r="C873" s="1290"/>
      <c r="G873" s="1290"/>
      <c r="H873" s="1290"/>
      <c r="I873" s="1290"/>
      <c r="J873" s="1290"/>
      <c r="K873" s="1290"/>
      <c r="L873" s="1290"/>
      <c r="M873" s="1290"/>
      <c r="N873" s="1290"/>
      <c r="O873" s="1290"/>
      <c r="P873" s="1290"/>
    </row>
    <row r="874" spans="1:16" s="1335" customFormat="1">
      <c r="A874" s="1334"/>
      <c r="B874" s="1290"/>
      <c r="C874" s="1290"/>
      <c r="G874" s="1290"/>
      <c r="H874" s="1290"/>
      <c r="I874" s="1290"/>
      <c r="J874" s="1290"/>
      <c r="K874" s="1290"/>
      <c r="L874" s="1290"/>
      <c r="M874" s="1290"/>
      <c r="N874" s="1290"/>
      <c r="O874" s="1290"/>
      <c r="P874" s="1290"/>
    </row>
    <row r="875" spans="1:16" s="1335" customFormat="1">
      <c r="A875" s="1334"/>
      <c r="B875" s="1290"/>
      <c r="C875" s="1290"/>
      <c r="G875" s="1290"/>
      <c r="H875" s="1290"/>
      <c r="I875" s="1290"/>
      <c r="J875" s="1290"/>
      <c r="K875" s="1290"/>
      <c r="L875" s="1290"/>
      <c r="M875" s="1290"/>
      <c r="N875" s="1290"/>
      <c r="O875" s="1290"/>
      <c r="P875" s="1290"/>
    </row>
    <row r="876" spans="1:16" s="1335" customFormat="1">
      <c r="A876" s="1334"/>
      <c r="B876" s="1290"/>
      <c r="C876" s="1290"/>
      <c r="G876" s="1290"/>
      <c r="H876" s="1290"/>
      <c r="I876" s="1290"/>
      <c r="J876" s="1290"/>
      <c r="K876" s="1290"/>
      <c r="L876" s="1290"/>
      <c r="M876" s="1290"/>
      <c r="N876" s="1290"/>
      <c r="O876" s="1290"/>
      <c r="P876" s="1290"/>
    </row>
    <row r="877" spans="1:16" s="1335" customFormat="1">
      <c r="A877" s="1334"/>
      <c r="B877" s="1290"/>
      <c r="C877" s="1290"/>
      <c r="G877" s="1290"/>
      <c r="H877" s="1290"/>
      <c r="I877" s="1290"/>
      <c r="J877" s="1290"/>
      <c r="K877" s="1290"/>
      <c r="L877" s="1290"/>
      <c r="M877" s="1290"/>
      <c r="N877" s="1290"/>
      <c r="O877" s="1290"/>
      <c r="P877" s="1290"/>
    </row>
    <row r="878" spans="1:16" s="1335" customFormat="1">
      <c r="A878" s="1334"/>
      <c r="B878" s="1290"/>
      <c r="C878" s="1290"/>
      <c r="G878" s="1290"/>
      <c r="H878" s="1290"/>
      <c r="I878" s="1290"/>
      <c r="J878" s="1290"/>
      <c r="K878" s="1290"/>
      <c r="L878" s="1290"/>
      <c r="M878" s="1290"/>
      <c r="N878" s="1290"/>
      <c r="O878" s="1290"/>
      <c r="P878" s="1290"/>
    </row>
    <row r="879" spans="1:16" s="1335" customFormat="1">
      <c r="A879" s="1334"/>
      <c r="B879" s="1290"/>
      <c r="C879" s="1290"/>
      <c r="G879" s="1290"/>
      <c r="H879" s="1290"/>
      <c r="I879" s="1290"/>
      <c r="J879" s="1290"/>
      <c r="K879" s="1290"/>
      <c r="L879" s="1290"/>
      <c r="M879" s="1290"/>
      <c r="N879" s="1290"/>
      <c r="O879" s="1290"/>
      <c r="P879" s="1290"/>
    </row>
    <row r="880" spans="1:16" s="1335" customFormat="1">
      <c r="A880" s="1334"/>
      <c r="B880" s="1290"/>
      <c r="C880" s="1290"/>
      <c r="G880" s="1290"/>
      <c r="H880" s="1290"/>
      <c r="I880" s="1290"/>
      <c r="J880" s="1290"/>
      <c r="K880" s="1290"/>
      <c r="L880" s="1290"/>
      <c r="M880" s="1290"/>
      <c r="N880" s="1290"/>
      <c r="O880" s="1290"/>
      <c r="P880" s="1290"/>
    </row>
    <row r="881" spans="1:16" s="1335" customFormat="1">
      <c r="A881" s="1334"/>
      <c r="B881" s="1290"/>
      <c r="C881" s="1290"/>
      <c r="G881" s="1290"/>
      <c r="H881" s="1290"/>
      <c r="I881" s="1290"/>
      <c r="J881" s="1290"/>
      <c r="K881" s="1290"/>
      <c r="L881" s="1290"/>
      <c r="M881" s="1290"/>
      <c r="N881" s="1290"/>
      <c r="O881" s="1290"/>
      <c r="P881" s="1290"/>
    </row>
    <row r="882" spans="1:16" s="1335" customFormat="1">
      <c r="A882" s="1334"/>
      <c r="B882" s="1290"/>
      <c r="C882" s="1290"/>
      <c r="G882" s="1290"/>
      <c r="H882" s="1290"/>
      <c r="I882" s="1290"/>
      <c r="J882" s="1290"/>
      <c r="K882" s="1290"/>
      <c r="L882" s="1290"/>
      <c r="M882" s="1290"/>
      <c r="N882" s="1290"/>
      <c r="O882" s="1290"/>
      <c r="P882" s="1290"/>
    </row>
    <row r="883" spans="1:16" s="1335" customFormat="1">
      <c r="A883" s="1334"/>
      <c r="B883" s="1290"/>
      <c r="C883" s="1290"/>
      <c r="G883" s="1290"/>
      <c r="H883" s="1290"/>
      <c r="I883" s="1290"/>
      <c r="J883" s="1290"/>
      <c r="K883" s="1290"/>
      <c r="L883" s="1290"/>
      <c r="M883" s="1290"/>
      <c r="N883" s="1290"/>
      <c r="O883" s="1290"/>
      <c r="P883" s="1290"/>
    </row>
    <row r="884" spans="1:16" s="1335" customFormat="1">
      <c r="A884" s="1334"/>
      <c r="B884" s="1290"/>
      <c r="C884" s="1290"/>
      <c r="G884" s="1290"/>
      <c r="H884" s="1290"/>
      <c r="I884" s="1290"/>
      <c r="J884" s="1290"/>
      <c r="K884" s="1290"/>
      <c r="L884" s="1290"/>
      <c r="M884" s="1290"/>
      <c r="N884" s="1290"/>
      <c r="O884" s="1290"/>
      <c r="P884" s="1290"/>
    </row>
    <row r="885" spans="1:16" s="1335" customFormat="1">
      <c r="A885" s="1334"/>
      <c r="B885" s="1290"/>
      <c r="C885" s="1290"/>
      <c r="G885" s="1290"/>
      <c r="H885" s="1290"/>
      <c r="I885" s="1290"/>
      <c r="J885" s="1290"/>
      <c r="K885" s="1290"/>
      <c r="L885" s="1290"/>
      <c r="M885" s="1290"/>
      <c r="N885" s="1290"/>
      <c r="O885" s="1290"/>
      <c r="P885" s="1290"/>
    </row>
    <row r="886" spans="1:16" s="1335" customFormat="1">
      <c r="A886" s="1334"/>
      <c r="B886" s="1290"/>
      <c r="C886" s="1290"/>
      <c r="G886" s="1290"/>
      <c r="H886" s="1290"/>
      <c r="I886" s="1290"/>
      <c r="J886" s="1290"/>
      <c r="K886" s="1290"/>
      <c r="L886" s="1290"/>
      <c r="M886" s="1290"/>
      <c r="N886" s="1290"/>
      <c r="O886" s="1290"/>
      <c r="P886" s="1290"/>
    </row>
    <row r="887" spans="1:16" s="1335" customFormat="1">
      <c r="A887" s="1334"/>
      <c r="B887" s="1290"/>
      <c r="C887" s="1290"/>
      <c r="G887" s="1290"/>
      <c r="H887" s="1290"/>
      <c r="I887" s="1290"/>
      <c r="J887" s="1290"/>
      <c r="K887" s="1290"/>
      <c r="L887" s="1290"/>
      <c r="M887" s="1290"/>
      <c r="N887" s="1290"/>
      <c r="O887" s="1290"/>
      <c r="P887" s="1290"/>
    </row>
    <row r="888" spans="1:16" s="1335" customFormat="1">
      <c r="A888" s="1334"/>
      <c r="B888" s="1290"/>
      <c r="C888" s="1290"/>
      <c r="G888" s="1290"/>
      <c r="H888" s="1290"/>
      <c r="I888" s="1290"/>
      <c r="J888" s="1290"/>
      <c r="K888" s="1290"/>
      <c r="L888" s="1290"/>
      <c r="M888" s="1290"/>
      <c r="N888" s="1290"/>
      <c r="O888" s="1290"/>
      <c r="P888" s="1290"/>
    </row>
    <row r="889" spans="1:16" s="1335" customFormat="1">
      <c r="A889" s="1334"/>
      <c r="B889" s="1290"/>
      <c r="C889" s="1290"/>
      <c r="G889" s="1290"/>
      <c r="H889" s="1290"/>
      <c r="I889" s="1290"/>
      <c r="J889" s="1290"/>
      <c r="K889" s="1290"/>
      <c r="L889" s="1290"/>
      <c r="M889" s="1290"/>
      <c r="N889" s="1290"/>
      <c r="O889" s="1290"/>
      <c r="P889" s="1290"/>
    </row>
    <row r="890" spans="1:16" s="1335" customFormat="1">
      <c r="A890" s="1334"/>
      <c r="B890" s="1290"/>
      <c r="C890" s="1290"/>
      <c r="G890" s="1290"/>
      <c r="H890" s="1290"/>
      <c r="I890" s="1290"/>
      <c r="J890" s="1290"/>
      <c r="K890" s="1290"/>
      <c r="L890" s="1290"/>
      <c r="M890" s="1290"/>
      <c r="N890" s="1290"/>
      <c r="O890" s="1290"/>
      <c r="P890" s="1290"/>
    </row>
    <row r="891" spans="1:16" s="1335" customFormat="1">
      <c r="A891" s="1334"/>
      <c r="B891" s="1290"/>
      <c r="C891" s="1290"/>
      <c r="G891" s="1290"/>
      <c r="H891" s="1290"/>
      <c r="I891" s="1290"/>
      <c r="J891" s="1290"/>
      <c r="K891" s="1290"/>
      <c r="L891" s="1290"/>
      <c r="M891" s="1290"/>
      <c r="N891" s="1290"/>
      <c r="O891" s="1290"/>
      <c r="P891" s="1290"/>
    </row>
    <row r="892" spans="1:16" s="1335" customFormat="1">
      <c r="A892" s="1334"/>
      <c r="B892" s="1290"/>
      <c r="C892" s="1290"/>
      <c r="G892" s="1290"/>
      <c r="H892" s="1290"/>
      <c r="I892" s="1290"/>
      <c r="J892" s="1290"/>
      <c r="K892" s="1290"/>
      <c r="L892" s="1290"/>
      <c r="M892" s="1290"/>
      <c r="N892" s="1290"/>
      <c r="O892" s="1290"/>
      <c r="P892" s="1290"/>
    </row>
    <row r="893" spans="1:16" s="1335" customFormat="1">
      <c r="A893" s="1334"/>
      <c r="B893" s="1290"/>
      <c r="C893" s="1290"/>
      <c r="G893" s="1290"/>
      <c r="H893" s="1290"/>
      <c r="I893" s="1290"/>
      <c r="J893" s="1290"/>
      <c r="K893" s="1290"/>
      <c r="L893" s="1290"/>
      <c r="M893" s="1290"/>
      <c r="N893" s="1290"/>
      <c r="O893" s="1290"/>
      <c r="P893" s="1290"/>
    </row>
    <row r="894" spans="1:16" s="1335" customFormat="1">
      <c r="A894" s="1334"/>
      <c r="B894" s="1290"/>
      <c r="C894" s="1290"/>
      <c r="G894" s="1290"/>
      <c r="H894" s="1290"/>
      <c r="I894" s="1290"/>
      <c r="J894" s="1290"/>
      <c r="K894" s="1290"/>
      <c r="L894" s="1290"/>
      <c r="M894" s="1290"/>
      <c r="N894" s="1290"/>
      <c r="O894" s="1290"/>
      <c r="P894" s="1290"/>
    </row>
    <row r="895" spans="1:16" s="1335" customFormat="1">
      <c r="A895" s="1334"/>
      <c r="B895" s="1290"/>
      <c r="C895" s="1290"/>
      <c r="G895" s="1290"/>
      <c r="H895" s="1290"/>
      <c r="I895" s="1290"/>
      <c r="J895" s="1290"/>
      <c r="K895" s="1290"/>
      <c r="L895" s="1290"/>
      <c r="M895" s="1290"/>
      <c r="N895" s="1290"/>
      <c r="O895" s="1290"/>
      <c r="P895" s="1290"/>
    </row>
    <row r="896" spans="1:16" s="1335" customFormat="1">
      <c r="A896" s="1334"/>
      <c r="B896" s="1290"/>
      <c r="C896" s="1290"/>
      <c r="G896" s="1290"/>
      <c r="H896" s="1290"/>
      <c r="I896" s="1290"/>
      <c r="J896" s="1290"/>
      <c r="K896" s="1290"/>
      <c r="L896" s="1290"/>
      <c r="M896" s="1290"/>
      <c r="N896" s="1290"/>
      <c r="O896" s="1290"/>
      <c r="P896" s="1290"/>
    </row>
    <row r="897" spans="1:16" s="1335" customFormat="1">
      <c r="A897" s="1334"/>
      <c r="B897" s="1290"/>
      <c r="C897" s="1290"/>
      <c r="G897" s="1290"/>
      <c r="H897" s="1290"/>
      <c r="I897" s="1290"/>
      <c r="J897" s="1290"/>
      <c r="K897" s="1290"/>
      <c r="L897" s="1290"/>
      <c r="M897" s="1290"/>
      <c r="N897" s="1290"/>
      <c r="O897" s="1290"/>
      <c r="P897" s="1290"/>
    </row>
    <row r="898" spans="1:16" s="1335" customFormat="1">
      <c r="A898" s="1334"/>
      <c r="B898" s="1290"/>
      <c r="C898" s="1290"/>
      <c r="G898" s="1290"/>
      <c r="H898" s="1290"/>
      <c r="I898" s="1290"/>
      <c r="J898" s="1290"/>
      <c r="K898" s="1290"/>
      <c r="L898" s="1290"/>
      <c r="M898" s="1290"/>
      <c r="N898" s="1290"/>
      <c r="O898" s="1290"/>
      <c r="P898" s="1290"/>
    </row>
    <row r="899" spans="1:16" s="1335" customFormat="1">
      <c r="A899" s="1334"/>
      <c r="B899" s="1290"/>
      <c r="C899" s="1290"/>
      <c r="G899" s="1290"/>
      <c r="H899" s="1290"/>
      <c r="I899" s="1290"/>
      <c r="J899" s="1290"/>
      <c r="K899" s="1290"/>
      <c r="L899" s="1290"/>
      <c r="M899" s="1290"/>
      <c r="N899" s="1290"/>
      <c r="O899" s="1290"/>
      <c r="P899" s="1290"/>
    </row>
    <row r="900" spans="1:16" s="1335" customFormat="1">
      <c r="A900" s="1334"/>
      <c r="B900" s="1290"/>
      <c r="C900" s="1290"/>
      <c r="G900" s="1290"/>
      <c r="H900" s="1290"/>
      <c r="I900" s="1290"/>
      <c r="J900" s="1290"/>
      <c r="K900" s="1290"/>
      <c r="L900" s="1290"/>
      <c r="M900" s="1290"/>
      <c r="N900" s="1290"/>
      <c r="O900" s="1290"/>
      <c r="P900" s="1290"/>
    </row>
    <row r="901" spans="1:16" s="1335" customFormat="1">
      <c r="A901" s="1334"/>
      <c r="B901" s="1290"/>
      <c r="C901" s="1290"/>
      <c r="G901" s="1290"/>
      <c r="H901" s="1290"/>
      <c r="I901" s="1290"/>
      <c r="J901" s="1290"/>
      <c r="K901" s="1290"/>
      <c r="L901" s="1290"/>
      <c r="M901" s="1290"/>
      <c r="N901" s="1290"/>
      <c r="O901" s="1290"/>
      <c r="P901" s="1290"/>
    </row>
    <row r="902" spans="1:16" s="1335" customFormat="1">
      <c r="A902" s="1334"/>
      <c r="B902" s="1290"/>
      <c r="C902" s="1290"/>
      <c r="G902" s="1290"/>
      <c r="H902" s="1290"/>
      <c r="I902" s="1290"/>
      <c r="J902" s="1290"/>
      <c r="K902" s="1290"/>
      <c r="L902" s="1290"/>
      <c r="M902" s="1290"/>
      <c r="N902" s="1290"/>
      <c r="O902" s="1290"/>
      <c r="P902" s="1290"/>
    </row>
    <row r="903" spans="1:16" s="1335" customFormat="1">
      <c r="A903" s="1334"/>
      <c r="B903" s="1290"/>
      <c r="C903" s="1290"/>
      <c r="G903" s="1290"/>
      <c r="H903" s="1290"/>
      <c r="I903" s="1290"/>
      <c r="J903" s="1290"/>
      <c r="K903" s="1290"/>
      <c r="L903" s="1290"/>
      <c r="M903" s="1290"/>
      <c r="N903" s="1290"/>
      <c r="O903" s="1290"/>
      <c r="P903" s="1290"/>
    </row>
    <row r="904" spans="1:16" s="1335" customFormat="1">
      <c r="A904" s="1334"/>
      <c r="B904" s="1290"/>
      <c r="C904" s="1290"/>
      <c r="G904" s="1290"/>
      <c r="H904" s="1290"/>
      <c r="I904" s="1290"/>
      <c r="J904" s="1290"/>
      <c r="K904" s="1290"/>
      <c r="L904" s="1290"/>
      <c r="M904" s="1290"/>
      <c r="N904" s="1290"/>
      <c r="O904" s="1290"/>
      <c r="P904" s="1290"/>
    </row>
    <row r="905" spans="1:16" s="1335" customFormat="1">
      <c r="A905" s="1334"/>
      <c r="B905" s="1290"/>
      <c r="C905" s="1290"/>
      <c r="G905" s="1290"/>
      <c r="H905" s="1290"/>
      <c r="I905" s="1290"/>
      <c r="J905" s="1290"/>
      <c r="K905" s="1290"/>
      <c r="L905" s="1290"/>
      <c r="M905" s="1290"/>
      <c r="N905" s="1290"/>
      <c r="O905" s="1290"/>
      <c r="P905" s="1290"/>
    </row>
    <row r="906" spans="1:16" s="1335" customFormat="1">
      <c r="A906" s="1334"/>
      <c r="B906" s="1290"/>
      <c r="C906" s="1290"/>
      <c r="G906" s="1290"/>
      <c r="H906" s="1290"/>
      <c r="I906" s="1290"/>
      <c r="J906" s="1290"/>
      <c r="K906" s="1290"/>
      <c r="L906" s="1290"/>
      <c r="M906" s="1290"/>
      <c r="N906" s="1290"/>
      <c r="O906" s="1290"/>
      <c r="P906" s="1290"/>
    </row>
    <row r="907" spans="1:16" s="1335" customFormat="1">
      <c r="A907" s="1334"/>
      <c r="B907" s="1290"/>
      <c r="C907" s="1290"/>
      <c r="G907" s="1290"/>
      <c r="H907" s="1290"/>
      <c r="I907" s="1290"/>
      <c r="J907" s="1290"/>
      <c r="K907" s="1290"/>
      <c r="L907" s="1290"/>
      <c r="M907" s="1290"/>
      <c r="N907" s="1290"/>
      <c r="O907" s="1290"/>
      <c r="P907" s="1290"/>
    </row>
    <row r="908" spans="1:16" s="1335" customFormat="1">
      <c r="A908" s="1334"/>
      <c r="B908" s="1290"/>
      <c r="C908" s="1290"/>
      <c r="G908" s="1290"/>
      <c r="H908" s="1290"/>
      <c r="I908" s="1290"/>
      <c r="J908" s="1290"/>
      <c r="K908" s="1290"/>
      <c r="L908" s="1290"/>
      <c r="M908" s="1290"/>
      <c r="N908" s="1290"/>
      <c r="O908" s="1290"/>
      <c r="P908" s="1290"/>
    </row>
    <row r="909" spans="1:16" s="1335" customFormat="1">
      <c r="A909" s="1334"/>
      <c r="B909" s="1290"/>
      <c r="C909" s="1290"/>
      <c r="G909" s="1290"/>
      <c r="H909" s="1290"/>
      <c r="I909" s="1290"/>
      <c r="J909" s="1290"/>
      <c r="K909" s="1290"/>
      <c r="L909" s="1290"/>
      <c r="M909" s="1290"/>
      <c r="N909" s="1290"/>
      <c r="O909" s="1290"/>
      <c r="P909" s="1290"/>
    </row>
    <row r="910" spans="1:16" s="1335" customFormat="1">
      <c r="A910" s="1334"/>
      <c r="B910" s="1290"/>
      <c r="C910" s="1290"/>
      <c r="G910" s="1290"/>
      <c r="H910" s="1290"/>
      <c r="I910" s="1290"/>
      <c r="J910" s="1290"/>
      <c r="K910" s="1290"/>
      <c r="L910" s="1290"/>
      <c r="M910" s="1290"/>
      <c r="N910" s="1290"/>
      <c r="O910" s="1290"/>
      <c r="P910" s="1290"/>
    </row>
    <row r="911" spans="1:16" s="1335" customFormat="1">
      <c r="A911" s="1334"/>
      <c r="B911" s="1290"/>
      <c r="C911" s="1290"/>
      <c r="G911" s="1290"/>
      <c r="H911" s="1290"/>
      <c r="I911" s="1290"/>
      <c r="J911" s="1290"/>
      <c r="K911" s="1290"/>
      <c r="L911" s="1290"/>
      <c r="M911" s="1290"/>
      <c r="N911" s="1290"/>
      <c r="O911" s="1290"/>
      <c r="P911" s="1290"/>
    </row>
    <row r="912" spans="1:16" s="1335" customFormat="1">
      <c r="A912" s="1334"/>
      <c r="B912" s="1290"/>
      <c r="C912" s="1290"/>
      <c r="G912" s="1290"/>
      <c r="H912" s="1290"/>
      <c r="I912" s="1290"/>
      <c r="J912" s="1290"/>
      <c r="K912" s="1290"/>
      <c r="L912" s="1290"/>
      <c r="M912" s="1290"/>
      <c r="N912" s="1290"/>
      <c r="O912" s="1290"/>
      <c r="P912" s="1290"/>
    </row>
    <row r="913" spans="1:16" s="1335" customFormat="1">
      <c r="A913" s="1334"/>
      <c r="B913" s="1290"/>
      <c r="C913" s="1290"/>
      <c r="G913" s="1290"/>
      <c r="H913" s="1290"/>
      <c r="I913" s="1290"/>
      <c r="J913" s="1290"/>
      <c r="K913" s="1290"/>
      <c r="L913" s="1290"/>
      <c r="M913" s="1290"/>
      <c r="N913" s="1290"/>
      <c r="O913" s="1290"/>
      <c r="P913" s="1290"/>
    </row>
    <row r="914" spans="1:16" s="1335" customFormat="1">
      <c r="A914" s="1334"/>
      <c r="B914" s="1290"/>
      <c r="C914" s="1290"/>
      <c r="G914" s="1290"/>
      <c r="H914" s="1290"/>
      <c r="I914" s="1290"/>
      <c r="J914" s="1290"/>
      <c r="K914" s="1290"/>
      <c r="L914" s="1290"/>
      <c r="M914" s="1290"/>
      <c r="N914" s="1290"/>
      <c r="O914" s="1290"/>
      <c r="P914" s="1290"/>
    </row>
    <row r="915" spans="1:16" s="1335" customFormat="1">
      <c r="A915" s="1334"/>
      <c r="B915" s="1290"/>
      <c r="C915" s="1290"/>
      <c r="G915" s="1290"/>
      <c r="H915" s="1290"/>
      <c r="I915" s="1290"/>
      <c r="J915" s="1290"/>
      <c r="K915" s="1290"/>
      <c r="L915" s="1290"/>
      <c r="M915" s="1290"/>
      <c r="N915" s="1290"/>
      <c r="O915" s="1290"/>
      <c r="P915" s="1290"/>
    </row>
    <row r="916" spans="1:16" s="1335" customFormat="1">
      <c r="A916" s="1334"/>
      <c r="B916" s="1290"/>
      <c r="C916" s="1290"/>
      <c r="G916" s="1290"/>
      <c r="H916" s="1290"/>
      <c r="I916" s="1290"/>
      <c r="J916" s="1290"/>
      <c r="K916" s="1290"/>
      <c r="L916" s="1290"/>
      <c r="M916" s="1290"/>
      <c r="N916" s="1290"/>
      <c r="O916" s="1290"/>
      <c r="P916" s="1290"/>
    </row>
    <row r="917" spans="1:16" s="1335" customFormat="1">
      <c r="A917" s="1334"/>
      <c r="B917" s="1290"/>
      <c r="C917" s="1290"/>
      <c r="G917" s="1290"/>
      <c r="H917" s="1290"/>
      <c r="I917" s="1290"/>
      <c r="J917" s="1290"/>
      <c r="K917" s="1290"/>
      <c r="L917" s="1290"/>
      <c r="M917" s="1290"/>
      <c r="N917" s="1290"/>
      <c r="O917" s="1290"/>
      <c r="P917" s="1290"/>
    </row>
    <row r="918" spans="1:16" s="1335" customFormat="1">
      <c r="A918" s="1334"/>
      <c r="B918" s="1290"/>
      <c r="C918" s="1290"/>
      <c r="G918" s="1290"/>
      <c r="H918" s="1290"/>
      <c r="I918" s="1290"/>
      <c r="J918" s="1290"/>
      <c r="K918" s="1290"/>
      <c r="L918" s="1290"/>
      <c r="M918" s="1290"/>
      <c r="N918" s="1290"/>
      <c r="O918" s="1290"/>
      <c r="P918" s="1290"/>
    </row>
    <row r="919" spans="1:16" s="1335" customFormat="1">
      <c r="A919" s="1334"/>
      <c r="B919" s="1290"/>
      <c r="C919" s="1290"/>
      <c r="G919" s="1290"/>
      <c r="H919" s="1290"/>
      <c r="I919" s="1290"/>
      <c r="J919" s="1290"/>
      <c r="K919" s="1290"/>
      <c r="L919" s="1290"/>
      <c r="M919" s="1290"/>
      <c r="N919" s="1290"/>
      <c r="O919" s="1290"/>
      <c r="P919" s="1290"/>
    </row>
    <row r="920" spans="1:16" s="1335" customFormat="1">
      <c r="A920" s="1334"/>
      <c r="B920" s="1290"/>
      <c r="C920" s="1290"/>
      <c r="G920" s="1290"/>
      <c r="H920" s="1290"/>
      <c r="I920" s="1290"/>
      <c r="J920" s="1290"/>
      <c r="K920" s="1290"/>
      <c r="L920" s="1290"/>
      <c r="M920" s="1290"/>
      <c r="N920" s="1290"/>
      <c r="O920" s="1290"/>
      <c r="P920" s="1290"/>
    </row>
    <row r="921" spans="1:16" s="1335" customFormat="1">
      <c r="A921" s="1334"/>
      <c r="B921" s="1290"/>
      <c r="C921" s="1290"/>
      <c r="G921" s="1290"/>
      <c r="H921" s="1290"/>
      <c r="I921" s="1290"/>
      <c r="J921" s="1290"/>
      <c r="K921" s="1290"/>
      <c r="L921" s="1290"/>
      <c r="M921" s="1290"/>
      <c r="N921" s="1290"/>
      <c r="O921" s="1290"/>
      <c r="P921" s="1290"/>
    </row>
    <row r="922" spans="1:16" s="1335" customFormat="1">
      <c r="A922" s="1334"/>
      <c r="B922" s="1290"/>
      <c r="C922" s="1290"/>
      <c r="G922" s="1290"/>
      <c r="H922" s="1290"/>
      <c r="I922" s="1290"/>
      <c r="J922" s="1290"/>
      <c r="K922" s="1290"/>
      <c r="L922" s="1290"/>
      <c r="M922" s="1290"/>
      <c r="N922" s="1290"/>
      <c r="O922" s="1290"/>
      <c r="P922" s="1290"/>
    </row>
    <row r="923" spans="1:16" s="1335" customFormat="1">
      <c r="A923" s="1334"/>
      <c r="B923" s="1290"/>
      <c r="C923" s="1290"/>
      <c r="G923" s="1290"/>
      <c r="H923" s="1290"/>
      <c r="I923" s="1290"/>
      <c r="J923" s="1290"/>
      <c r="K923" s="1290"/>
      <c r="L923" s="1290"/>
      <c r="M923" s="1290"/>
      <c r="N923" s="1290"/>
      <c r="O923" s="1290"/>
      <c r="P923" s="1290"/>
    </row>
    <row r="924" spans="1:16" s="1335" customFormat="1">
      <c r="A924" s="1334"/>
      <c r="B924" s="1290"/>
      <c r="C924" s="1290"/>
      <c r="G924" s="1290"/>
      <c r="H924" s="1290"/>
      <c r="I924" s="1290"/>
      <c r="J924" s="1290"/>
      <c r="K924" s="1290"/>
      <c r="L924" s="1290"/>
      <c r="M924" s="1290"/>
      <c r="N924" s="1290"/>
      <c r="O924" s="1290"/>
      <c r="P924" s="1290"/>
    </row>
    <row r="925" spans="1:16" s="1335" customFormat="1">
      <c r="A925" s="1334"/>
      <c r="B925" s="1290"/>
      <c r="C925" s="1290"/>
      <c r="G925" s="1290"/>
      <c r="H925" s="1290"/>
      <c r="I925" s="1290"/>
      <c r="J925" s="1290"/>
      <c r="K925" s="1290"/>
      <c r="L925" s="1290"/>
      <c r="M925" s="1290"/>
      <c r="N925" s="1290"/>
      <c r="O925" s="1290"/>
      <c r="P925" s="1290"/>
    </row>
    <row r="926" spans="1:16" s="1335" customFormat="1">
      <c r="A926" s="1334"/>
      <c r="B926" s="1290"/>
      <c r="C926" s="1290"/>
      <c r="G926" s="1290"/>
      <c r="H926" s="1290"/>
      <c r="I926" s="1290"/>
      <c r="J926" s="1290"/>
      <c r="K926" s="1290"/>
      <c r="L926" s="1290"/>
      <c r="M926" s="1290"/>
      <c r="N926" s="1290"/>
      <c r="O926" s="1290"/>
      <c r="P926" s="1290"/>
    </row>
    <row r="927" spans="1:16" s="1335" customFormat="1">
      <c r="A927" s="1334"/>
      <c r="B927" s="1290"/>
      <c r="C927" s="1290"/>
      <c r="G927" s="1290"/>
      <c r="H927" s="1290"/>
      <c r="I927" s="1290"/>
      <c r="J927" s="1290"/>
      <c r="K927" s="1290"/>
      <c r="L927" s="1290"/>
      <c r="M927" s="1290"/>
      <c r="N927" s="1290"/>
      <c r="O927" s="1290"/>
      <c r="P927" s="1290"/>
    </row>
    <row r="928" spans="1:16" s="1335" customFormat="1">
      <c r="A928" s="1334"/>
      <c r="B928" s="1290"/>
      <c r="C928" s="1290"/>
      <c r="G928" s="1290"/>
      <c r="H928" s="1290"/>
      <c r="I928" s="1290"/>
      <c r="J928" s="1290"/>
      <c r="K928" s="1290"/>
      <c r="L928" s="1290"/>
      <c r="M928" s="1290"/>
      <c r="N928" s="1290"/>
      <c r="O928" s="1290"/>
      <c r="P928" s="1290"/>
    </row>
    <row r="929" spans="1:16" s="1335" customFormat="1">
      <c r="A929" s="1334"/>
      <c r="B929" s="1290"/>
      <c r="C929" s="1290"/>
      <c r="G929" s="1290"/>
      <c r="H929" s="1290"/>
      <c r="I929" s="1290"/>
      <c r="J929" s="1290"/>
      <c r="K929" s="1290"/>
      <c r="L929" s="1290"/>
      <c r="M929" s="1290"/>
      <c r="N929" s="1290"/>
      <c r="O929" s="1290"/>
      <c r="P929" s="1290"/>
    </row>
    <row r="930" spans="1:16" s="1335" customFormat="1">
      <c r="A930" s="1334"/>
      <c r="B930" s="1290"/>
      <c r="C930" s="1290"/>
      <c r="G930" s="1290"/>
      <c r="H930" s="1290"/>
      <c r="I930" s="1290"/>
      <c r="J930" s="1290"/>
      <c r="K930" s="1290"/>
      <c r="L930" s="1290"/>
      <c r="M930" s="1290"/>
      <c r="N930" s="1290"/>
      <c r="O930" s="1290"/>
      <c r="P930" s="1290"/>
    </row>
    <row r="931" spans="1:16" s="1335" customFormat="1">
      <c r="A931" s="1334"/>
      <c r="B931" s="1290"/>
      <c r="C931" s="1290"/>
      <c r="G931" s="1290"/>
      <c r="H931" s="1290"/>
      <c r="I931" s="1290"/>
      <c r="J931" s="1290"/>
      <c r="K931" s="1290"/>
      <c r="L931" s="1290"/>
      <c r="M931" s="1290"/>
      <c r="N931" s="1290"/>
      <c r="O931" s="1290"/>
      <c r="P931" s="1290"/>
    </row>
    <row r="932" spans="1:16" s="1335" customFormat="1">
      <c r="A932" s="1334"/>
      <c r="B932" s="1290"/>
      <c r="C932" s="1290"/>
      <c r="G932" s="1290"/>
      <c r="H932" s="1290"/>
      <c r="I932" s="1290"/>
      <c r="J932" s="1290"/>
      <c r="K932" s="1290"/>
      <c r="L932" s="1290"/>
      <c r="M932" s="1290"/>
      <c r="N932" s="1290"/>
      <c r="O932" s="1290"/>
      <c r="P932" s="1290"/>
    </row>
    <row r="933" spans="1:16" s="1335" customFormat="1">
      <c r="A933" s="1334"/>
      <c r="B933" s="1290"/>
      <c r="C933" s="1290"/>
      <c r="G933" s="1290"/>
      <c r="H933" s="1290"/>
      <c r="I933" s="1290"/>
      <c r="J933" s="1290"/>
      <c r="K933" s="1290"/>
      <c r="L933" s="1290"/>
      <c r="M933" s="1290"/>
      <c r="N933" s="1290"/>
      <c r="O933" s="1290"/>
      <c r="P933" s="1290"/>
    </row>
    <row r="934" spans="1:16" s="1335" customFormat="1">
      <c r="A934" s="1334"/>
      <c r="B934" s="1290"/>
      <c r="C934" s="1290"/>
      <c r="G934" s="1290"/>
      <c r="H934" s="1290"/>
      <c r="I934" s="1290"/>
      <c r="J934" s="1290"/>
      <c r="K934" s="1290"/>
      <c r="L934" s="1290"/>
      <c r="M934" s="1290"/>
      <c r="N934" s="1290"/>
      <c r="O934" s="1290"/>
      <c r="P934" s="1290"/>
    </row>
    <row r="935" spans="1:16" s="1335" customFormat="1">
      <c r="A935" s="1334"/>
      <c r="B935" s="1290"/>
      <c r="C935" s="1290"/>
      <c r="G935" s="1290"/>
      <c r="H935" s="1290"/>
      <c r="I935" s="1290"/>
      <c r="J935" s="1290"/>
      <c r="K935" s="1290"/>
      <c r="L935" s="1290"/>
      <c r="M935" s="1290"/>
      <c r="N935" s="1290"/>
      <c r="O935" s="1290"/>
      <c r="P935" s="1290"/>
    </row>
    <row r="936" spans="1:16" s="1335" customFormat="1">
      <c r="A936" s="1334"/>
      <c r="B936" s="1290"/>
      <c r="C936" s="1290"/>
      <c r="G936" s="1290"/>
      <c r="H936" s="1290"/>
      <c r="I936" s="1290"/>
      <c r="J936" s="1290"/>
      <c r="K936" s="1290"/>
      <c r="L936" s="1290"/>
      <c r="M936" s="1290"/>
      <c r="N936" s="1290"/>
      <c r="O936" s="1290"/>
      <c r="P936" s="1290"/>
    </row>
    <row r="937" spans="1:16" s="1335" customFormat="1">
      <c r="A937" s="1334"/>
      <c r="B937" s="1290"/>
      <c r="C937" s="1290"/>
      <c r="G937" s="1290"/>
      <c r="H937" s="1290"/>
      <c r="I937" s="1290"/>
      <c r="J937" s="1290"/>
      <c r="K937" s="1290"/>
      <c r="L937" s="1290"/>
      <c r="M937" s="1290"/>
      <c r="N937" s="1290"/>
      <c r="O937" s="1290"/>
      <c r="P937" s="1290"/>
    </row>
    <row r="938" spans="1:16" s="1335" customFormat="1">
      <c r="A938" s="1334"/>
      <c r="B938" s="1290"/>
      <c r="C938" s="1290"/>
      <c r="G938" s="1290"/>
      <c r="H938" s="1290"/>
      <c r="I938" s="1290"/>
      <c r="J938" s="1290"/>
      <c r="K938" s="1290"/>
      <c r="L938" s="1290"/>
      <c r="M938" s="1290"/>
      <c r="N938" s="1290"/>
      <c r="O938" s="1290"/>
      <c r="P938" s="1290"/>
    </row>
    <row r="939" spans="1:16" s="1335" customFormat="1">
      <c r="A939" s="1334"/>
      <c r="B939" s="1290"/>
      <c r="C939" s="1290"/>
      <c r="G939" s="1290"/>
      <c r="H939" s="1290"/>
      <c r="I939" s="1290"/>
      <c r="J939" s="1290"/>
      <c r="K939" s="1290"/>
      <c r="L939" s="1290"/>
      <c r="M939" s="1290"/>
      <c r="N939" s="1290"/>
      <c r="O939" s="1290"/>
      <c r="P939" s="1290"/>
    </row>
    <row r="940" spans="1:16" s="1335" customFormat="1">
      <c r="A940" s="1334"/>
      <c r="B940" s="1290"/>
      <c r="C940" s="1290"/>
      <c r="G940" s="1290"/>
      <c r="H940" s="1290"/>
      <c r="I940" s="1290"/>
      <c r="J940" s="1290"/>
      <c r="K940" s="1290"/>
      <c r="L940" s="1290"/>
      <c r="M940" s="1290"/>
      <c r="N940" s="1290"/>
      <c r="O940" s="1290"/>
      <c r="P940" s="1290"/>
    </row>
    <row r="941" spans="1:16" s="1335" customFormat="1">
      <c r="A941" s="1334"/>
      <c r="B941" s="1290"/>
      <c r="C941" s="1290"/>
      <c r="G941" s="1290"/>
      <c r="H941" s="1290"/>
      <c r="I941" s="1290"/>
      <c r="J941" s="1290"/>
      <c r="K941" s="1290"/>
      <c r="L941" s="1290"/>
      <c r="M941" s="1290"/>
      <c r="N941" s="1290"/>
      <c r="O941" s="1290"/>
      <c r="P941" s="1290"/>
    </row>
    <row r="942" spans="1:16" s="1335" customFormat="1">
      <c r="A942" s="1334"/>
      <c r="B942" s="1290"/>
      <c r="C942" s="1290"/>
      <c r="G942" s="1290"/>
      <c r="H942" s="1290"/>
      <c r="I942" s="1290"/>
      <c r="J942" s="1290"/>
      <c r="K942" s="1290"/>
      <c r="L942" s="1290"/>
      <c r="M942" s="1290"/>
      <c r="N942" s="1290"/>
      <c r="O942" s="1290"/>
      <c r="P942" s="1290"/>
    </row>
    <row r="943" spans="1:16" s="1335" customFormat="1">
      <c r="A943" s="1334"/>
      <c r="B943" s="1290"/>
      <c r="C943" s="1290"/>
      <c r="G943" s="1290"/>
      <c r="H943" s="1290"/>
      <c r="I943" s="1290"/>
      <c r="J943" s="1290"/>
      <c r="K943" s="1290"/>
      <c r="L943" s="1290"/>
      <c r="M943" s="1290"/>
      <c r="N943" s="1290"/>
      <c r="O943" s="1290"/>
      <c r="P943" s="1290"/>
    </row>
    <row r="944" spans="1:16" s="1335" customFormat="1">
      <c r="A944" s="1334"/>
      <c r="B944" s="1290"/>
      <c r="C944" s="1290"/>
      <c r="G944" s="1290"/>
      <c r="H944" s="1290"/>
      <c r="I944" s="1290"/>
      <c r="J944" s="1290"/>
      <c r="K944" s="1290"/>
      <c r="L944" s="1290"/>
      <c r="M944" s="1290"/>
      <c r="N944" s="1290"/>
      <c r="O944" s="1290"/>
      <c r="P944" s="1290"/>
    </row>
    <row r="945" spans="1:16" s="1335" customFormat="1">
      <c r="A945" s="1334"/>
      <c r="B945" s="1290"/>
      <c r="C945" s="1290"/>
      <c r="G945" s="1290"/>
      <c r="H945" s="1290"/>
      <c r="I945" s="1290"/>
      <c r="J945" s="1290"/>
      <c r="K945" s="1290"/>
      <c r="L945" s="1290"/>
      <c r="M945" s="1290"/>
      <c r="N945" s="1290"/>
      <c r="O945" s="1290"/>
      <c r="P945" s="1290"/>
    </row>
    <row r="946" spans="1:16" s="1335" customFormat="1">
      <c r="A946" s="1334"/>
      <c r="B946" s="1290"/>
      <c r="C946" s="1290"/>
      <c r="G946" s="1290"/>
      <c r="H946" s="1290"/>
      <c r="I946" s="1290"/>
      <c r="J946" s="1290"/>
      <c r="K946" s="1290"/>
      <c r="L946" s="1290"/>
      <c r="M946" s="1290"/>
      <c r="N946" s="1290"/>
      <c r="O946" s="1290"/>
      <c r="P946" s="1290"/>
    </row>
    <row r="947" spans="1:16" s="1335" customFormat="1">
      <c r="A947" s="1334"/>
      <c r="B947" s="1290"/>
      <c r="C947" s="1290"/>
      <c r="G947" s="1290"/>
      <c r="H947" s="1290"/>
      <c r="I947" s="1290"/>
      <c r="J947" s="1290"/>
      <c r="K947" s="1290"/>
      <c r="L947" s="1290"/>
      <c r="M947" s="1290"/>
      <c r="N947" s="1290"/>
      <c r="O947" s="1290"/>
      <c r="P947" s="1290"/>
    </row>
    <row r="948" spans="1:16" s="1335" customFormat="1">
      <c r="A948" s="1334"/>
      <c r="B948" s="1290"/>
      <c r="C948" s="1290"/>
      <c r="G948" s="1290"/>
      <c r="H948" s="1290"/>
      <c r="I948" s="1290"/>
      <c r="J948" s="1290"/>
      <c r="K948" s="1290"/>
      <c r="L948" s="1290"/>
      <c r="M948" s="1290"/>
      <c r="N948" s="1290"/>
      <c r="O948" s="1290"/>
      <c r="P948" s="1290"/>
    </row>
    <row r="949" spans="1:16" s="1335" customFormat="1">
      <c r="A949" s="1334"/>
      <c r="B949" s="1290"/>
      <c r="C949" s="1290"/>
      <c r="G949" s="1290"/>
      <c r="H949" s="1290"/>
      <c r="I949" s="1290"/>
      <c r="J949" s="1290"/>
      <c r="K949" s="1290"/>
      <c r="L949" s="1290"/>
      <c r="M949" s="1290"/>
      <c r="N949" s="1290"/>
      <c r="O949" s="1290"/>
      <c r="P949" s="1290"/>
    </row>
    <row r="950" spans="1:16" s="1335" customFormat="1">
      <c r="A950" s="1334"/>
      <c r="B950" s="1290"/>
      <c r="C950" s="1290"/>
      <c r="G950" s="1290"/>
      <c r="H950" s="1290"/>
      <c r="I950" s="1290"/>
      <c r="J950" s="1290"/>
      <c r="K950" s="1290"/>
      <c r="L950" s="1290"/>
      <c r="M950" s="1290"/>
      <c r="N950" s="1290"/>
      <c r="O950" s="1290"/>
      <c r="P950" s="1290"/>
    </row>
    <row r="951" spans="1:16" s="1335" customFormat="1">
      <c r="A951" s="1334"/>
      <c r="B951" s="1290"/>
      <c r="C951" s="1290"/>
      <c r="G951" s="1290"/>
      <c r="H951" s="1290"/>
      <c r="I951" s="1290"/>
      <c r="J951" s="1290"/>
      <c r="K951" s="1290"/>
      <c r="L951" s="1290"/>
      <c r="M951" s="1290"/>
      <c r="N951" s="1290"/>
      <c r="O951" s="1290"/>
      <c r="P951" s="1290"/>
    </row>
    <row r="952" spans="1:16" s="1335" customFormat="1">
      <c r="A952" s="1334"/>
      <c r="B952" s="1290"/>
      <c r="C952" s="1290"/>
      <c r="G952" s="1290"/>
      <c r="H952" s="1290"/>
      <c r="I952" s="1290"/>
      <c r="J952" s="1290"/>
      <c r="K952" s="1290"/>
      <c r="L952" s="1290"/>
      <c r="M952" s="1290"/>
      <c r="N952" s="1290"/>
      <c r="O952" s="1290"/>
      <c r="P952" s="1290"/>
    </row>
    <row r="953" spans="1:16" s="1335" customFormat="1">
      <c r="A953" s="1334"/>
      <c r="B953" s="1290"/>
      <c r="C953" s="1290"/>
      <c r="G953" s="1290"/>
      <c r="H953" s="1290"/>
      <c r="I953" s="1290"/>
      <c r="J953" s="1290"/>
      <c r="K953" s="1290"/>
      <c r="L953" s="1290"/>
      <c r="M953" s="1290"/>
      <c r="N953" s="1290"/>
      <c r="O953" s="1290"/>
      <c r="P953" s="1290"/>
    </row>
    <row r="954" spans="1:16" s="1335" customFormat="1">
      <c r="A954" s="1334"/>
      <c r="B954" s="1290"/>
      <c r="C954" s="1290"/>
      <c r="G954" s="1290"/>
      <c r="H954" s="1290"/>
      <c r="I954" s="1290"/>
      <c r="J954" s="1290"/>
      <c r="K954" s="1290"/>
      <c r="L954" s="1290"/>
      <c r="M954" s="1290"/>
      <c r="N954" s="1290"/>
      <c r="O954" s="1290"/>
      <c r="P954" s="1290"/>
    </row>
    <row r="955" spans="1:16" s="1335" customFormat="1">
      <c r="A955" s="1334"/>
      <c r="B955" s="1290"/>
      <c r="C955" s="1290"/>
      <c r="G955" s="1290"/>
      <c r="H955" s="1290"/>
      <c r="I955" s="1290"/>
      <c r="J955" s="1290"/>
      <c r="K955" s="1290"/>
      <c r="L955" s="1290"/>
      <c r="M955" s="1290"/>
      <c r="N955" s="1290"/>
      <c r="O955" s="1290"/>
      <c r="P955" s="1290"/>
    </row>
    <row r="956" spans="1:16" s="1335" customFormat="1">
      <c r="A956" s="1334"/>
      <c r="B956" s="1290"/>
      <c r="C956" s="1290"/>
      <c r="G956" s="1290"/>
      <c r="H956" s="1290"/>
      <c r="I956" s="1290"/>
      <c r="J956" s="1290"/>
      <c r="K956" s="1290"/>
      <c r="L956" s="1290"/>
      <c r="M956" s="1290"/>
      <c r="N956" s="1290"/>
      <c r="O956" s="1290"/>
      <c r="P956" s="1290"/>
    </row>
    <row r="957" spans="1:16" s="1335" customFormat="1">
      <c r="A957" s="1334"/>
      <c r="B957" s="1290"/>
      <c r="C957" s="1290"/>
      <c r="G957" s="1290"/>
      <c r="H957" s="1290"/>
      <c r="I957" s="1290"/>
      <c r="J957" s="1290"/>
      <c r="K957" s="1290"/>
      <c r="L957" s="1290"/>
      <c r="M957" s="1290"/>
      <c r="N957" s="1290"/>
      <c r="O957" s="1290"/>
      <c r="P957" s="1290"/>
    </row>
    <row r="958" spans="1:16" s="1335" customFormat="1">
      <c r="A958" s="1334"/>
      <c r="B958" s="1290"/>
      <c r="C958" s="1290"/>
      <c r="G958" s="1290"/>
      <c r="H958" s="1290"/>
      <c r="I958" s="1290"/>
      <c r="J958" s="1290"/>
      <c r="K958" s="1290"/>
      <c r="L958" s="1290"/>
      <c r="M958" s="1290"/>
      <c r="N958" s="1290"/>
      <c r="O958" s="1290"/>
      <c r="P958" s="1290"/>
    </row>
    <row r="959" spans="1:16" s="1335" customFormat="1">
      <c r="A959" s="1334"/>
      <c r="B959" s="1290"/>
      <c r="C959" s="1290"/>
      <c r="G959" s="1290"/>
      <c r="H959" s="1290"/>
      <c r="I959" s="1290"/>
      <c r="J959" s="1290"/>
      <c r="K959" s="1290"/>
      <c r="L959" s="1290"/>
      <c r="M959" s="1290"/>
      <c r="N959" s="1290"/>
      <c r="O959" s="1290"/>
      <c r="P959" s="1290"/>
    </row>
    <row r="960" spans="1:16" s="1335" customFormat="1">
      <c r="A960" s="1334"/>
      <c r="B960" s="1290"/>
      <c r="C960" s="1290"/>
      <c r="G960" s="1290"/>
      <c r="H960" s="1290"/>
      <c r="I960" s="1290"/>
      <c r="J960" s="1290"/>
      <c r="K960" s="1290"/>
      <c r="L960" s="1290"/>
      <c r="M960" s="1290"/>
      <c r="N960" s="1290"/>
      <c r="O960" s="1290"/>
      <c r="P960" s="1290"/>
    </row>
    <row r="961" spans="1:16" s="1335" customFormat="1">
      <c r="A961" s="1334"/>
      <c r="B961" s="1290"/>
      <c r="C961" s="1290"/>
      <c r="G961" s="1290"/>
      <c r="H961" s="1290"/>
      <c r="I961" s="1290"/>
      <c r="J961" s="1290"/>
      <c r="K961" s="1290"/>
      <c r="L961" s="1290"/>
      <c r="M961" s="1290"/>
      <c r="N961" s="1290"/>
      <c r="O961" s="1290"/>
      <c r="P961" s="1290"/>
    </row>
    <row r="962" spans="1:16" s="1335" customFormat="1">
      <c r="A962" s="1334"/>
      <c r="B962" s="1290"/>
      <c r="C962" s="1290"/>
      <c r="G962" s="1290"/>
      <c r="H962" s="1290"/>
      <c r="I962" s="1290"/>
      <c r="J962" s="1290"/>
      <c r="K962" s="1290"/>
      <c r="L962" s="1290"/>
      <c r="M962" s="1290"/>
      <c r="N962" s="1290"/>
      <c r="O962" s="1290"/>
      <c r="P962" s="1290"/>
    </row>
    <row r="963" spans="1:16" s="1335" customFormat="1">
      <c r="A963" s="1334"/>
      <c r="B963" s="1290"/>
      <c r="C963" s="1290"/>
      <c r="G963" s="1290"/>
      <c r="H963" s="1290"/>
      <c r="I963" s="1290"/>
      <c r="J963" s="1290"/>
      <c r="K963" s="1290"/>
      <c r="L963" s="1290"/>
      <c r="M963" s="1290"/>
      <c r="N963" s="1290"/>
      <c r="O963" s="1290"/>
      <c r="P963" s="1290"/>
    </row>
    <row r="964" spans="1:16" s="1335" customFormat="1">
      <c r="A964" s="1334"/>
      <c r="B964" s="1290"/>
      <c r="C964" s="1290"/>
      <c r="G964" s="1290"/>
      <c r="H964" s="1290"/>
      <c r="I964" s="1290"/>
      <c r="J964" s="1290"/>
      <c r="K964" s="1290"/>
      <c r="L964" s="1290"/>
      <c r="M964" s="1290"/>
      <c r="N964" s="1290"/>
      <c r="O964" s="1290"/>
      <c r="P964" s="1290"/>
    </row>
    <row r="965" spans="1:16" s="1335" customFormat="1">
      <c r="A965" s="1334"/>
      <c r="B965" s="1290"/>
      <c r="C965" s="1290"/>
      <c r="G965" s="1290"/>
      <c r="H965" s="1290"/>
      <c r="I965" s="1290"/>
      <c r="J965" s="1290"/>
      <c r="K965" s="1290"/>
      <c r="L965" s="1290"/>
      <c r="M965" s="1290"/>
      <c r="N965" s="1290"/>
      <c r="O965" s="1290"/>
      <c r="P965" s="1290"/>
    </row>
    <row r="966" spans="1:16" s="1335" customFormat="1">
      <c r="A966" s="1334"/>
      <c r="B966" s="1290"/>
      <c r="C966" s="1290"/>
      <c r="G966" s="1290"/>
      <c r="H966" s="1290"/>
      <c r="I966" s="1290"/>
      <c r="J966" s="1290"/>
      <c r="K966" s="1290"/>
      <c r="L966" s="1290"/>
      <c r="M966" s="1290"/>
      <c r="N966" s="1290"/>
      <c r="O966" s="1290"/>
      <c r="P966" s="1290"/>
    </row>
    <row r="967" spans="1:16" s="1335" customFormat="1">
      <c r="A967" s="1334"/>
      <c r="B967" s="1290"/>
      <c r="C967" s="1290"/>
      <c r="G967" s="1290"/>
      <c r="H967" s="1290"/>
      <c r="I967" s="1290"/>
      <c r="J967" s="1290"/>
      <c r="K967" s="1290"/>
      <c r="L967" s="1290"/>
      <c r="M967" s="1290"/>
      <c r="N967" s="1290"/>
      <c r="O967" s="1290"/>
      <c r="P967" s="1290"/>
    </row>
    <row r="968" spans="1:16" s="1335" customFormat="1">
      <c r="A968" s="1334"/>
      <c r="B968" s="1290"/>
      <c r="C968" s="1290"/>
      <c r="G968" s="1290"/>
      <c r="H968" s="1290"/>
      <c r="I968" s="1290"/>
      <c r="J968" s="1290"/>
      <c r="K968" s="1290"/>
      <c r="L968" s="1290"/>
      <c r="M968" s="1290"/>
      <c r="N968" s="1290"/>
      <c r="O968" s="1290"/>
      <c r="P968" s="1290"/>
    </row>
    <row r="969" spans="1:16" s="1335" customFormat="1">
      <c r="A969" s="1334"/>
      <c r="B969" s="1290"/>
      <c r="C969" s="1290"/>
      <c r="G969" s="1290"/>
      <c r="H969" s="1290"/>
      <c r="I969" s="1290"/>
      <c r="J969" s="1290"/>
      <c r="K969" s="1290"/>
      <c r="L969" s="1290"/>
      <c r="M969" s="1290"/>
      <c r="N969" s="1290"/>
      <c r="O969" s="1290"/>
      <c r="P969" s="1290"/>
    </row>
    <row r="970" spans="1:16" s="1335" customFormat="1">
      <c r="A970" s="1334"/>
      <c r="B970" s="1290"/>
      <c r="C970" s="1290"/>
      <c r="G970" s="1290"/>
      <c r="H970" s="1290"/>
      <c r="I970" s="1290"/>
      <c r="J970" s="1290"/>
      <c r="K970" s="1290"/>
      <c r="L970" s="1290"/>
      <c r="M970" s="1290"/>
      <c r="N970" s="1290"/>
      <c r="O970" s="1290"/>
      <c r="P970" s="1290"/>
    </row>
    <row r="971" spans="1:16" s="1335" customFormat="1">
      <c r="A971" s="1334"/>
      <c r="B971" s="1290"/>
      <c r="C971" s="1290"/>
      <c r="G971" s="1290"/>
      <c r="H971" s="1290"/>
      <c r="I971" s="1290"/>
      <c r="J971" s="1290"/>
      <c r="K971" s="1290"/>
      <c r="L971" s="1290"/>
      <c r="M971" s="1290"/>
      <c r="N971" s="1290"/>
      <c r="O971" s="1290"/>
      <c r="P971" s="1290"/>
    </row>
    <row r="972" spans="1:16" s="1335" customFormat="1">
      <c r="A972" s="1334"/>
      <c r="B972" s="1290"/>
      <c r="C972" s="1290"/>
      <c r="G972" s="1290"/>
      <c r="H972" s="1290"/>
      <c r="I972" s="1290"/>
      <c r="J972" s="1290"/>
      <c r="K972" s="1290"/>
      <c r="L972" s="1290"/>
      <c r="M972" s="1290"/>
      <c r="N972" s="1290"/>
      <c r="O972" s="1290"/>
      <c r="P972" s="1290"/>
    </row>
    <row r="973" spans="1:16" s="1335" customFormat="1">
      <c r="A973" s="1334"/>
      <c r="B973" s="1290"/>
      <c r="C973" s="1290"/>
      <c r="G973" s="1290"/>
      <c r="H973" s="1290"/>
      <c r="I973" s="1290"/>
      <c r="J973" s="1290"/>
      <c r="K973" s="1290"/>
      <c r="L973" s="1290"/>
      <c r="M973" s="1290"/>
      <c r="N973" s="1290"/>
      <c r="O973" s="1290"/>
      <c r="P973" s="1290"/>
    </row>
    <row r="974" spans="1:16" s="1335" customFormat="1">
      <c r="A974" s="1334"/>
      <c r="B974" s="1290"/>
      <c r="C974" s="1290"/>
      <c r="G974" s="1290"/>
      <c r="H974" s="1290"/>
      <c r="I974" s="1290"/>
      <c r="J974" s="1290"/>
      <c r="K974" s="1290"/>
      <c r="L974" s="1290"/>
      <c r="M974" s="1290"/>
      <c r="N974" s="1290"/>
      <c r="O974" s="1290"/>
      <c r="P974" s="1290"/>
    </row>
    <row r="975" spans="1:16" s="1335" customFormat="1">
      <c r="A975" s="1334"/>
      <c r="B975" s="1290"/>
      <c r="C975" s="1290"/>
      <c r="G975" s="1290"/>
      <c r="H975" s="1290"/>
      <c r="I975" s="1290"/>
      <c r="J975" s="1290"/>
      <c r="K975" s="1290"/>
      <c r="L975" s="1290"/>
      <c r="M975" s="1290"/>
      <c r="N975" s="1290"/>
      <c r="O975" s="1290"/>
      <c r="P975" s="1290"/>
    </row>
    <row r="976" spans="1:16" s="1335" customFormat="1">
      <c r="A976" s="1334"/>
      <c r="B976" s="1290"/>
      <c r="C976" s="1290"/>
      <c r="G976" s="1290"/>
      <c r="H976" s="1290"/>
      <c r="I976" s="1290"/>
      <c r="J976" s="1290"/>
      <c r="K976" s="1290"/>
      <c r="L976" s="1290"/>
      <c r="M976" s="1290"/>
      <c r="N976" s="1290"/>
      <c r="O976" s="1290"/>
      <c r="P976" s="1290"/>
    </row>
    <row r="977" spans="1:16" s="1335" customFormat="1">
      <c r="A977" s="1334"/>
      <c r="B977" s="1290"/>
      <c r="C977" s="1290"/>
      <c r="G977" s="1290"/>
      <c r="H977" s="1290"/>
      <c r="I977" s="1290"/>
      <c r="J977" s="1290"/>
      <c r="K977" s="1290"/>
      <c r="L977" s="1290"/>
      <c r="M977" s="1290"/>
      <c r="N977" s="1290"/>
      <c r="O977" s="1290"/>
      <c r="P977" s="1290"/>
    </row>
    <row r="978" spans="1:16" s="1335" customFormat="1">
      <c r="A978" s="1334"/>
      <c r="B978" s="1290"/>
      <c r="C978" s="1290"/>
      <c r="G978" s="1290"/>
      <c r="H978" s="1290"/>
      <c r="I978" s="1290"/>
      <c r="J978" s="1290"/>
      <c r="K978" s="1290"/>
      <c r="L978" s="1290"/>
      <c r="M978" s="1290"/>
      <c r="N978" s="1290"/>
      <c r="O978" s="1290"/>
      <c r="P978" s="1290"/>
    </row>
    <row r="979" spans="1:16" s="1335" customFormat="1">
      <c r="A979" s="1334"/>
      <c r="B979" s="1290"/>
      <c r="C979" s="1290"/>
      <c r="G979" s="1290"/>
      <c r="H979" s="1290"/>
      <c r="I979" s="1290"/>
      <c r="J979" s="1290"/>
      <c r="K979" s="1290"/>
      <c r="L979" s="1290"/>
      <c r="M979" s="1290"/>
      <c r="N979" s="1290"/>
      <c r="O979" s="1290"/>
      <c r="P979" s="1290"/>
    </row>
    <row r="980" spans="1:16" s="1335" customFormat="1">
      <c r="A980" s="1334"/>
      <c r="B980" s="1290"/>
      <c r="C980" s="1290"/>
      <c r="G980" s="1290"/>
      <c r="H980" s="1290"/>
      <c r="I980" s="1290"/>
      <c r="J980" s="1290"/>
      <c r="K980" s="1290"/>
      <c r="L980" s="1290"/>
      <c r="M980" s="1290"/>
      <c r="N980" s="1290"/>
      <c r="O980" s="1290"/>
      <c r="P980" s="1290"/>
    </row>
    <row r="981" spans="1:16" s="1335" customFormat="1">
      <c r="A981" s="1334"/>
      <c r="B981" s="1290"/>
      <c r="C981" s="1290"/>
      <c r="G981" s="1290"/>
      <c r="H981" s="1290"/>
      <c r="I981" s="1290"/>
      <c r="J981" s="1290"/>
      <c r="K981" s="1290"/>
      <c r="L981" s="1290"/>
      <c r="M981" s="1290"/>
      <c r="N981" s="1290"/>
      <c r="O981" s="1290"/>
      <c r="P981" s="1290"/>
    </row>
    <row r="982" spans="1:16" s="1335" customFormat="1">
      <c r="A982" s="1334"/>
      <c r="B982" s="1290"/>
      <c r="C982" s="1290"/>
      <c r="G982" s="1290"/>
      <c r="H982" s="1290"/>
      <c r="I982" s="1290"/>
      <c r="J982" s="1290"/>
      <c r="K982" s="1290"/>
      <c r="L982" s="1290"/>
      <c r="M982" s="1290"/>
      <c r="N982" s="1290"/>
      <c r="O982" s="1290"/>
      <c r="P982" s="1290"/>
    </row>
    <row r="983" spans="1:16" s="1335" customFormat="1">
      <c r="A983" s="1334"/>
      <c r="B983" s="1290"/>
      <c r="C983" s="1290"/>
      <c r="G983" s="1290"/>
      <c r="H983" s="1290"/>
      <c r="I983" s="1290"/>
      <c r="J983" s="1290"/>
      <c r="K983" s="1290"/>
      <c r="L983" s="1290"/>
      <c r="M983" s="1290"/>
      <c r="N983" s="1290"/>
      <c r="O983" s="1290"/>
      <c r="P983" s="1290"/>
    </row>
    <row r="984" spans="1:16" s="1335" customFormat="1">
      <c r="A984" s="1334"/>
      <c r="B984" s="1290"/>
      <c r="C984" s="1290"/>
      <c r="G984" s="1290"/>
      <c r="H984" s="1290"/>
      <c r="I984" s="1290"/>
      <c r="J984" s="1290"/>
      <c r="K984" s="1290"/>
      <c r="L984" s="1290"/>
      <c r="M984" s="1290"/>
      <c r="N984" s="1290"/>
      <c r="O984" s="1290"/>
      <c r="P984" s="1290"/>
    </row>
    <row r="985" spans="1:16" s="1335" customFormat="1">
      <c r="A985" s="1334"/>
      <c r="B985" s="1290"/>
      <c r="C985" s="1290"/>
      <c r="G985" s="1290"/>
      <c r="H985" s="1290"/>
      <c r="I985" s="1290"/>
      <c r="J985" s="1290"/>
      <c r="K985" s="1290"/>
      <c r="L985" s="1290"/>
      <c r="M985" s="1290"/>
      <c r="N985" s="1290"/>
      <c r="O985" s="1290"/>
      <c r="P985" s="1290"/>
    </row>
    <row r="986" spans="1:16" s="1335" customFormat="1">
      <c r="A986" s="1334"/>
      <c r="B986" s="1290"/>
      <c r="C986" s="1290"/>
      <c r="G986" s="1290"/>
      <c r="H986" s="1290"/>
      <c r="I986" s="1290"/>
      <c r="J986" s="1290"/>
      <c r="K986" s="1290"/>
      <c r="L986" s="1290"/>
      <c r="M986" s="1290"/>
      <c r="N986" s="1290"/>
      <c r="O986" s="1290"/>
      <c r="P986" s="1290"/>
    </row>
    <row r="987" spans="1:16" s="1335" customFormat="1">
      <c r="A987" s="1334"/>
      <c r="B987" s="1290"/>
      <c r="C987" s="1290"/>
      <c r="G987" s="1290"/>
      <c r="H987" s="1290"/>
      <c r="I987" s="1290"/>
      <c r="J987" s="1290"/>
      <c r="K987" s="1290"/>
      <c r="L987" s="1290"/>
      <c r="M987" s="1290"/>
      <c r="N987" s="1290"/>
      <c r="O987" s="1290"/>
      <c r="P987" s="1290"/>
    </row>
    <row r="988" spans="1:16" s="1335" customFormat="1">
      <c r="A988" s="1334"/>
      <c r="B988" s="1290"/>
      <c r="C988" s="1290"/>
      <c r="G988" s="1290"/>
      <c r="H988" s="1290"/>
      <c r="I988" s="1290"/>
      <c r="J988" s="1290"/>
      <c r="K988" s="1290"/>
      <c r="L988" s="1290"/>
      <c r="M988" s="1290"/>
      <c r="N988" s="1290"/>
      <c r="O988" s="1290"/>
      <c r="P988" s="1290"/>
    </row>
    <row r="989" spans="1:16" s="1335" customFormat="1">
      <c r="A989" s="1334"/>
      <c r="B989" s="1290"/>
      <c r="C989" s="1290"/>
      <c r="G989" s="1290"/>
      <c r="H989" s="1290"/>
      <c r="I989" s="1290"/>
      <c r="J989" s="1290"/>
      <c r="K989" s="1290"/>
      <c r="L989" s="1290"/>
      <c r="M989" s="1290"/>
      <c r="N989" s="1290"/>
      <c r="O989" s="1290"/>
      <c r="P989" s="1290"/>
    </row>
    <row r="990" spans="1:16" s="1335" customFormat="1">
      <c r="A990" s="1334"/>
      <c r="B990" s="1290"/>
      <c r="C990" s="1290"/>
      <c r="G990" s="1290"/>
      <c r="H990" s="1290"/>
      <c r="I990" s="1290"/>
      <c r="J990" s="1290"/>
      <c r="K990" s="1290"/>
      <c r="L990" s="1290"/>
      <c r="M990" s="1290"/>
      <c r="N990" s="1290"/>
      <c r="O990" s="1290"/>
      <c r="P990" s="1290"/>
    </row>
    <row r="991" spans="1:16" s="1335" customFormat="1">
      <c r="A991" s="1334"/>
      <c r="B991" s="1290"/>
      <c r="C991" s="1290"/>
      <c r="G991" s="1290"/>
      <c r="H991" s="1290"/>
      <c r="I991" s="1290"/>
      <c r="J991" s="1290"/>
      <c r="K991" s="1290"/>
      <c r="L991" s="1290"/>
      <c r="M991" s="1290"/>
      <c r="N991" s="1290"/>
      <c r="O991" s="1290"/>
      <c r="P991" s="1290"/>
    </row>
    <row r="992" spans="1:16" s="1335" customFormat="1">
      <c r="A992" s="1334"/>
      <c r="B992" s="1290"/>
      <c r="C992" s="1290"/>
      <c r="G992" s="1290"/>
      <c r="H992" s="1290"/>
      <c r="I992" s="1290"/>
      <c r="J992" s="1290"/>
      <c r="K992" s="1290"/>
      <c r="L992" s="1290"/>
      <c r="M992" s="1290"/>
      <c r="N992" s="1290"/>
      <c r="O992" s="1290"/>
      <c r="P992" s="1290"/>
    </row>
    <row r="993" spans="1:16" s="1335" customFormat="1">
      <c r="A993" s="1334"/>
      <c r="B993" s="1290"/>
      <c r="C993" s="1290"/>
      <c r="G993" s="1290"/>
      <c r="H993" s="1290"/>
      <c r="I993" s="1290"/>
      <c r="J993" s="1290"/>
      <c r="K993" s="1290"/>
      <c r="L993" s="1290"/>
      <c r="M993" s="1290"/>
      <c r="N993" s="1290"/>
      <c r="O993" s="1290"/>
      <c r="P993" s="1290"/>
    </row>
    <row r="994" spans="1:16" s="1335" customFormat="1">
      <c r="A994" s="1334"/>
      <c r="B994" s="1290"/>
      <c r="C994" s="1290"/>
      <c r="G994" s="1290"/>
      <c r="H994" s="1290"/>
      <c r="I994" s="1290"/>
      <c r="J994" s="1290"/>
      <c r="K994" s="1290"/>
      <c r="L994" s="1290"/>
      <c r="M994" s="1290"/>
      <c r="N994" s="1290"/>
      <c r="O994" s="1290"/>
      <c r="P994" s="1290"/>
    </row>
    <row r="995" spans="1:16" s="1335" customFormat="1">
      <c r="A995" s="1334"/>
      <c r="B995" s="1290"/>
      <c r="C995" s="1290"/>
      <c r="G995" s="1290"/>
      <c r="H995" s="1290"/>
      <c r="I995" s="1290"/>
      <c r="J995" s="1290"/>
      <c r="K995" s="1290"/>
      <c r="L995" s="1290"/>
      <c r="M995" s="1290"/>
      <c r="N995" s="1290"/>
      <c r="O995" s="1290"/>
      <c r="P995" s="1290"/>
    </row>
    <row r="996" spans="1:16" s="1335" customFormat="1">
      <c r="A996" s="1334"/>
      <c r="B996" s="1290"/>
      <c r="C996" s="1290"/>
      <c r="G996" s="1290"/>
      <c r="H996" s="1290"/>
      <c r="I996" s="1290"/>
      <c r="J996" s="1290"/>
      <c r="K996" s="1290"/>
      <c r="L996" s="1290"/>
      <c r="M996" s="1290"/>
      <c r="N996" s="1290"/>
      <c r="O996" s="1290"/>
      <c r="P996" s="1290"/>
    </row>
    <row r="997" spans="1:16" s="1335" customFormat="1">
      <c r="A997" s="1334"/>
      <c r="B997" s="1290"/>
      <c r="C997" s="1290"/>
      <c r="G997" s="1290"/>
      <c r="H997" s="1290"/>
      <c r="I997" s="1290"/>
      <c r="J997" s="1290"/>
      <c r="K997" s="1290"/>
      <c r="L997" s="1290"/>
      <c r="M997" s="1290"/>
      <c r="N997" s="1290"/>
      <c r="O997" s="1290"/>
      <c r="P997" s="1290"/>
    </row>
    <row r="998" spans="1:16" s="1335" customFormat="1">
      <c r="A998" s="1334"/>
      <c r="B998" s="1290"/>
      <c r="C998" s="1290"/>
      <c r="G998" s="1290"/>
      <c r="H998" s="1290"/>
      <c r="I998" s="1290"/>
      <c r="J998" s="1290"/>
      <c r="K998" s="1290"/>
      <c r="L998" s="1290"/>
      <c r="M998" s="1290"/>
      <c r="N998" s="1290"/>
      <c r="O998" s="1290"/>
      <c r="P998" s="1290"/>
    </row>
    <row r="999" spans="1:16" s="1335" customFormat="1">
      <c r="A999" s="1334"/>
      <c r="B999" s="1290"/>
      <c r="C999" s="1290"/>
      <c r="G999" s="1290"/>
      <c r="H999" s="1290"/>
      <c r="I999" s="1290"/>
      <c r="J999" s="1290"/>
      <c r="K999" s="1290"/>
      <c r="L999" s="1290"/>
      <c r="M999" s="1290"/>
      <c r="N999" s="1290"/>
      <c r="O999" s="1290"/>
      <c r="P999" s="1290"/>
    </row>
    <row r="1000" spans="1:16" s="1335" customFormat="1">
      <c r="A1000" s="1334"/>
      <c r="B1000" s="1290"/>
      <c r="C1000" s="1290"/>
      <c r="G1000" s="1290"/>
      <c r="H1000" s="1290"/>
      <c r="I1000" s="1290"/>
      <c r="J1000" s="1290"/>
      <c r="K1000" s="1290"/>
      <c r="L1000" s="1290"/>
      <c r="M1000" s="1290"/>
      <c r="N1000" s="1290"/>
      <c r="O1000" s="1290"/>
      <c r="P1000" s="1290"/>
    </row>
    <row r="1001" spans="1:16" s="1335" customFormat="1">
      <c r="A1001" s="1334"/>
      <c r="B1001" s="1290"/>
      <c r="C1001" s="1290"/>
      <c r="G1001" s="1290"/>
      <c r="H1001" s="1290"/>
      <c r="I1001" s="1290"/>
      <c r="J1001" s="1290"/>
      <c r="K1001" s="1290"/>
      <c r="L1001" s="1290"/>
      <c r="M1001" s="1290"/>
      <c r="N1001" s="1290"/>
      <c r="O1001" s="1290"/>
      <c r="P1001" s="1290"/>
    </row>
    <row r="1002" spans="1:16" s="1335" customFormat="1">
      <c r="A1002" s="1334"/>
      <c r="B1002" s="1290"/>
      <c r="C1002" s="1290"/>
      <c r="G1002" s="1290"/>
      <c r="H1002" s="1290"/>
      <c r="I1002" s="1290"/>
      <c r="J1002" s="1290"/>
      <c r="K1002" s="1290"/>
      <c r="L1002" s="1290"/>
      <c r="M1002" s="1290"/>
      <c r="N1002" s="1290"/>
      <c r="O1002" s="1290"/>
      <c r="P1002" s="1290"/>
    </row>
    <row r="1003" spans="1:16" s="1335" customFormat="1">
      <c r="A1003" s="1334"/>
      <c r="B1003" s="1290"/>
      <c r="C1003" s="1290"/>
      <c r="G1003" s="1290"/>
      <c r="H1003" s="1290"/>
      <c r="I1003" s="1290"/>
      <c r="J1003" s="1290"/>
      <c r="K1003" s="1290"/>
      <c r="L1003" s="1290"/>
      <c r="M1003" s="1290"/>
      <c r="N1003" s="1290"/>
      <c r="O1003" s="1290"/>
      <c r="P1003" s="1290"/>
    </row>
    <row r="1004" spans="1:16" s="1335" customFormat="1">
      <c r="A1004" s="1334"/>
      <c r="B1004" s="1290"/>
      <c r="C1004" s="1290"/>
      <c r="G1004" s="1290"/>
      <c r="H1004" s="1290"/>
      <c r="I1004" s="1290"/>
      <c r="J1004" s="1290"/>
      <c r="K1004" s="1290"/>
      <c r="L1004" s="1290"/>
      <c r="M1004" s="1290"/>
      <c r="N1004" s="1290"/>
      <c r="O1004" s="1290"/>
      <c r="P1004" s="1290"/>
    </row>
    <row r="1005" spans="1:16" s="1335" customFormat="1">
      <c r="A1005" s="1334"/>
      <c r="B1005" s="1290"/>
      <c r="C1005" s="1290"/>
      <c r="G1005" s="1290"/>
      <c r="H1005" s="1290"/>
      <c r="I1005" s="1290"/>
      <c r="J1005" s="1290"/>
      <c r="K1005" s="1290"/>
      <c r="L1005" s="1290"/>
      <c r="M1005" s="1290"/>
      <c r="N1005" s="1290"/>
      <c r="O1005" s="1290"/>
      <c r="P1005" s="1290"/>
    </row>
    <row r="1006" spans="1:16" s="1335" customFormat="1">
      <c r="A1006" s="1334"/>
      <c r="B1006" s="1290"/>
      <c r="C1006" s="1290"/>
      <c r="G1006" s="1290"/>
      <c r="H1006" s="1290"/>
      <c r="I1006" s="1290"/>
      <c r="J1006" s="1290"/>
      <c r="K1006" s="1290"/>
      <c r="L1006" s="1290"/>
      <c r="M1006" s="1290"/>
      <c r="N1006" s="1290"/>
      <c r="O1006" s="1290"/>
      <c r="P1006" s="1290"/>
    </row>
    <row r="1007" spans="1:16" s="1335" customFormat="1">
      <c r="A1007" s="1334"/>
      <c r="B1007" s="1290"/>
      <c r="C1007" s="1290"/>
      <c r="G1007" s="1290"/>
      <c r="H1007" s="1290"/>
      <c r="I1007" s="1290"/>
      <c r="J1007" s="1290"/>
      <c r="K1007" s="1290"/>
      <c r="L1007" s="1290"/>
      <c r="M1007" s="1290"/>
      <c r="N1007" s="1290"/>
      <c r="O1007" s="1290"/>
      <c r="P1007" s="1290"/>
    </row>
    <row r="1008" spans="1:16" s="1335" customFormat="1">
      <c r="A1008" s="1334"/>
      <c r="B1008" s="1290"/>
      <c r="C1008" s="1290"/>
      <c r="G1008" s="1290"/>
      <c r="H1008" s="1290"/>
      <c r="I1008" s="1290"/>
      <c r="J1008" s="1290"/>
      <c r="K1008" s="1290"/>
      <c r="L1008" s="1290"/>
      <c r="M1008" s="1290"/>
      <c r="N1008" s="1290"/>
      <c r="O1008" s="1290"/>
      <c r="P1008" s="1290"/>
    </row>
    <row r="1009" spans="1:16" s="1335" customFormat="1">
      <c r="A1009" s="1334"/>
      <c r="B1009" s="1290"/>
      <c r="C1009" s="1290"/>
      <c r="G1009" s="1290"/>
      <c r="H1009" s="1290"/>
      <c r="I1009" s="1290"/>
      <c r="J1009" s="1290"/>
      <c r="K1009" s="1290"/>
      <c r="L1009" s="1290"/>
      <c r="M1009" s="1290"/>
      <c r="N1009" s="1290"/>
      <c r="O1009" s="1290"/>
      <c r="P1009" s="1290"/>
    </row>
    <row r="1010" spans="1:16" s="1335" customFormat="1">
      <c r="A1010" s="1334"/>
      <c r="B1010" s="1290"/>
      <c r="C1010" s="1290"/>
      <c r="G1010" s="1290"/>
      <c r="H1010" s="1290"/>
      <c r="I1010" s="1290"/>
      <c r="J1010" s="1290"/>
      <c r="K1010" s="1290"/>
      <c r="L1010" s="1290"/>
      <c r="M1010" s="1290"/>
      <c r="N1010" s="1290"/>
      <c r="O1010" s="1290"/>
      <c r="P1010" s="1290"/>
    </row>
    <row r="1011" spans="1:16" s="1335" customFormat="1">
      <c r="A1011" s="1334"/>
      <c r="B1011" s="1290"/>
      <c r="C1011" s="1290"/>
      <c r="G1011" s="1290"/>
      <c r="H1011" s="1290"/>
      <c r="I1011" s="1290"/>
      <c r="J1011" s="1290"/>
      <c r="K1011" s="1290"/>
      <c r="L1011" s="1290"/>
      <c r="M1011" s="1290"/>
      <c r="N1011" s="1290"/>
      <c r="O1011" s="1290"/>
      <c r="P1011" s="1290"/>
    </row>
    <row r="1012" spans="1:16" s="1335" customFormat="1">
      <c r="A1012" s="1334"/>
      <c r="B1012" s="1290"/>
      <c r="C1012" s="1290"/>
      <c r="G1012" s="1290"/>
      <c r="H1012" s="1290"/>
      <c r="I1012" s="1290"/>
      <c r="J1012" s="1290"/>
      <c r="K1012" s="1290"/>
      <c r="L1012" s="1290"/>
      <c r="M1012" s="1290"/>
      <c r="N1012" s="1290"/>
      <c r="O1012" s="1290"/>
      <c r="P1012" s="1290"/>
    </row>
    <row r="1013" spans="1:16" s="1335" customFormat="1">
      <c r="A1013" s="1334"/>
      <c r="B1013" s="1290"/>
      <c r="C1013" s="1290"/>
      <c r="G1013" s="1290"/>
      <c r="H1013" s="1290"/>
      <c r="I1013" s="1290"/>
      <c r="J1013" s="1290"/>
      <c r="K1013" s="1290"/>
      <c r="L1013" s="1290"/>
      <c r="M1013" s="1290"/>
      <c r="N1013" s="1290"/>
      <c r="O1013" s="1290"/>
      <c r="P1013" s="1290"/>
    </row>
    <row r="1014" spans="1:16" s="1335" customFormat="1">
      <c r="A1014" s="1334"/>
      <c r="B1014" s="1290"/>
      <c r="C1014" s="1290"/>
      <c r="G1014" s="1290"/>
      <c r="H1014" s="1290"/>
      <c r="I1014" s="1290"/>
      <c r="J1014" s="1290"/>
      <c r="K1014" s="1290"/>
      <c r="L1014" s="1290"/>
      <c r="M1014" s="1290"/>
      <c r="N1014" s="1290"/>
      <c r="O1014" s="1290"/>
      <c r="P1014" s="1290"/>
    </row>
    <row r="1015" spans="1:16" s="1335" customFormat="1">
      <c r="A1015" s="1334"/>
      <c r="B1015" s="1290"/>
      <c r="C1015" s="1290"/>
      <c r="G1015" s="1290"/>
      <c r="H1015" s="1290"/>
      <c r="I1015" s="1290"/>
      <c r="J1015" s="1290"/>
      <c r="K1015" s="1290"/>
      <c r="L1015" s="1290"/>
      <c r="M1015" s="1290"/>
      <c r="N1015" s="1290"/>
      <c r="O1015" s="1290"/>
      <c r="P1015" s="1290"/>
    </row>
    <row r="1016" spans="1:16" s="1335" customFormat="1">
      <c r="A1016" s="1334"/>
      <c r="B1016" s="1290"/>
      <c r="C1016" s="1290"/>
      <c r="G1016" s="1290"/>
      <c r="H1016" s="1290"/>
      <c r="I1016" s="1290"/>
      <c r="J1016" s="1290"/>
      <c r="K1016" s="1290"/>
      <c r="L1016" s="1290"/>
      <c r="M1016" s="1290"/>
      <c r="N1016" s="1290"/>
      <c r="O1016" s="1290"/>
      <c r="P1016" s="1290"/>
    </row>
    <row r="1017" spans="1:16" s="1335" customFormat="1">
      <c r="A1017" s="1334"/>
      <c r="B1017" s="1290"/>
      <c r="C1017" s="1290"/>
      <c r="G1017" s="1290"/>
      <c r="H1017" s="1290"/>
      <c r="I1017" s="1290"/>
      <c r="J1017" s="1290"/>
      <c r="K1017" s="1290"/>
      <c r="L1017" s="1290"/>
      <c r="M1017" s="1290"/>
      <c r="N1017" s="1290"/>
      <c r="O1017" s="1290"/>
      <c r="P1017" s="1290"/>
    </row>
    <row r="1018" spans="1:16" s="1335" customFormat="1">
      <c r="A1018" s="1334"/>
      <c r="B1018" s="1290"/>
      <c r="C1018" s="1290"/>
      <c r="G1018" s="1290"/>
      <c r="H1018" s="1290"/>
      <c r="I1018" s="1290"/>
      <c r="J1018" s="1290"/>
      <c r="K1018" s="1290"/>
      <c r="L1018" s="1290"/>
      <c r="M1018" s="1290"/>
      <c r="N1018" s="1290"/>
      <c r="O1018" s="1290"/>
      <c r="P1018" s="1290"/>
    </row>
    <row r="1019" spans="1:16" s="1335" customFormat="1">
      <c r="A1019" s="1334"/>
      <c r="B1019" s="1290"/>
      <c r="C1019" s="1290"/>
      <c r="G1019" s="1290"/>
      <c r="H1019" s="1290"/>
      <c r="I1019" s="1290"/>
      <c r="J1019" s="1290"/>
      <c r="K1019" s="1290"/>
      <c r="L1019" s="1290"/>
      <c r="M1019" s="1290"/>
      <c r="N1019" s="1290"/>
      <c r="O1019" s="1290"/>
      <c r="P1019" s="1290"/>
    </row>
    <row r="1020" spans="1:16" s="1335" customFormat="1">
      <c r="A1020" s="1334"/>
      <c r="B1020" s="1290"/>
      <c r="C1020" s="1290"/>
      <c r="G1020" s="1290"/>
      <c r="H1020" s="1290"/>
      <c r="I1020" s="1290"/>
      <c r="J1020" s="1290"/>
      <c r="K1020" s="1290"/>
      <c r="L1020" s="1290"/>
      <c r="M1020" s="1290"/>
      <c r="N1020" s="1290"/>
      <c r="O1020" s="1290"/>
      <c r="P1020" s="1290"/>
    </row>
    <row r="1021" spans="1:16" s="1335" customFormat="1">
      <c r="A1021" s="1334"/>
      <c r="B1021" s="1290"/>
      <c r="C1021" s="1290"/>
      <c r="G1021" s="1290"/>
      <c r="H1021" s="1290"/>
      <c r="I1021" s="1290"/>
      <c r="J1021" s="1290"/>
      <c r="K1021" s="1290"/>
      <c r="L1021" s="1290"/>
      <c r="M1021" s="1290"/>
      <c r="N1021" s="1290"/>
      <c r="O1021" s="1290"/>
      <c r="P1021" s="1290"/>
    </row>
    <row r="1022" spans="1:16" s="1335" customFormat="1">
      <c r="A1022" s="1334"/>
      <c r="B1022" s="1290"/>
      <c r="C1022" s="1290"/>
      <c r="G1022" s="1290"/>
      <c r="H1022" s="1290"/>
      <c r="I1022" s="1290"/>
      <c r="J1022" s="1290"/>
      <c r="K1022" s="1290"/>
      <c r="L1022" s="1290"/>
      <c r="M1022" s="1290"/>
      <c r="N1022" s="1290"/>
      <c r="O1022" s="1290"/>
      <c r="P1022" s="1290"/>
    </row>
    <row r="1023" spans="1:16" s="1335" customFormat="1">
      <c r="A1023" s="1334"/>
      <c r="B1023" s="1290"/>
      <c r="C1023" s="1290"/>
      <c r="G1023" s="1290"/>
      <c r="H1023" s="1290"/>
      <c r="I1023" s="1290"/>
      <c r="J1023" s="1290"/>
      <c r="K1023" s="1290"/>
      <c r="L1023" s="1290"/>
      <c r="M1023" s="1290"/>
      <c r="N1023" s="1290"/>
      <c r="O1023" s="1290"/>
      <c r="P1023" s="1290"/>
    </row>
    <row r="1024" spans="1:16" s="1335" customFormat="1">
      <c r="A1024" s="1334"/>
      <c r="B1024" s="1290"/>
      <c r="C1024" s="1290"/>
      <c r="G1024" s="1290"/>
      <c r="H1024" s="1290"/>
      <c r="I1024" s="1290"/>
      <c r="J1024" s="1290"/>
      <c r="K1024" s="1290"/>
      <c r="L1024" s="1290"/>
      <c r="M1024" s="1290"/>
      <c r="N1024" s="1290"/>
      <c r="O1024" s="1290"/>
      <c r="P1024" s="1290"/>
    </row>
    <row r="1025" spans="1:16" s="1335" customFormat="1">
      <c r="A1025" s="1334"/>
      <c r="B1025" s="1290"/>
      <c r="C1025" s="1290"/>
      <c r="G1025" s="1290"/>
      <c r="H1025" s="1290"/>
      <c r="I1025" s="1290"/>
      <c r="J1025" s="1290"/>
      <c r="K1025" s="1290"/>
      <c r="L1025" s="1290"/>
      <c r="M1025" s="1290"/>
      <c r="N1025" s="1290"/>
      <c r="O1025" s="1290"/>
      <c r="P1025" s="1290"/>
    </row>
    <row r="1026" spans="1:16" s="1335" customFormat="1">
      <c r="A1026" s="1334"/>
      <c r="B1026" s="1290"/>
      <c r="C1026" s="1290"/>
      <c r="G1026" s="1290"/>
      <c r="H1026" s="1290"/>
      <c r="I1026" s="1290"/>
      <c r="J1026" s="1290"/>
      <c r="K1026" s="1290"/>
      <c r="L1026" s="1290"/>
      <c r="M1026" s="1290"/>
      <c r="N1026" s="1290"/>
      <c r="O1026" s="1290"/>
      <c r="P1026" s="1290"/>
    </row>
    <row r="1027" spans="1:16" s="1335" customFormat="1">
      <c r="A1027" s="1334"/>
      <c r="B1027" s="1290"/>
      <c r="C1027" s="1290"/>
      <c r="G1027" s="1290"/>
      <c r="H1027" s="1290"/>
      <c r="I1027" s="1290"/>
      <c r="J1027" s="1290"/>
      <c r="K1027" s="1290"/>
      <c r="L1027" s="1290"/>
      <c r="M1027" s="1290"/>
      <c r="N1027" s="1290"/>
      <c r="O1027" s="1290"/>
      <c r="P1027" s="1290"/>
    </row>
    <row r="1028" spans="1:16" s="1335" customFormat="1">
      <c r="A1028" s="1334"/>
      <c r="B1028" s="1290"/>
      <c r="C1028" s="1290"/>
      <c r="G1028" s="1290"/>
      <c r="H1028" s="1290"/>
      <c r="I1028" s="1290"/>
      <c r="J1028" s="1290"/>
      <c r="K1028" s="1290"/>
      <c r="L1028" s="1290"/>
      <c r="M1028" s="1290"/>
      <c r="N1028" s="1290"/>
      <c r="O1028" s="1290"/>
      <c r="P1028" s="1290"/>
    </row>
    <row r="1029" spans="1:16" s="1335" customFormat="1">
      <c r="A1029" s="1334"/>
      <c r="B1029" s="1290"/>
      <c r="C1029" s="1290"/>
      <c r="G1029" s="1290"/>
      <c r="H1029" s="1290"/>
      <c r="I1029" s="1290"/>
      <c r="J1029" s="1290"/>
      <c r="K1029" s="1290"/>
      <c r="L1029" s="1290"/>
      <c r="M1029" s="1290"/>
      <c r="N1029" s="1290"/>
      <c r="O1029" s="1290"/>
      <c r="P1029" s="1290"/>
    </row>
    <row r="1030" spans="1:16" s="1335" customFormat="1">
      <c r="A1030" s="1334"/>
      <c r="B1030" s="1290"/>
      <c r="C1030" s="1290"/>
      <c r="G1030" s="1290"/>
      <c r="H1030" s="1290"/>
      <c r="I1030" s="1290"/>
      <c r="J1030" s="1290"/>
      <c r="K1030" s="1290"/>
      <c r="L1030" s="1290"/>
      <c r="M1030" s="1290"/>
      <c r="N1030" s="1290"/>
      <c r="O1030" s="1290"/>
      <c r="P1030" s="1290"/>
    </row>
    <row r="1031" spans="1:16" s="1335" customFormat="1">
      <c r="A1031" s="1334"/>
      <c r="B1031" s="1290"/>
      <c r="C1031" s="1290"/>
      <c r="G1031" s="1290"/>
      <c r="H1031" s="1290"/>
      <c r="I1031" s="1290"/>
      <c r="J1031" s="1290"/>
      <c r="K1031" s="1290"/>
      <c r="L1031" s="1290"/>
      <c r="M1031" s="1290"/>
      <c r="N1031" s="1290"/>
      <c r="O1031" s="1290"/>
      <c r="P1031" s="1290"/>
    </row>
    <row r="1032" spans="1:16" s="1335" customFormat="1">
      <c r="A1032" s="1334"/>
      <c r="B1032" s="1290"/>
      <c r="C1032" s="1290"/>
      <c r="G1032" s="1290"/>
      <c r="H1032" s="1290"/>
      <c r="I1032" s="1290"/>
      <c r="J1032" s="1290"/>
      <c r="K1032" s="1290"/>
      <c r="L1032" s="1290"/>
      <c r="M1032" s="1290"/>
      <c r="N1032" s="1290"/>
      <c r="O1032" s="1290"/>
      <c r="P1032" s="1290"/>
    </row>
    <row r="1033" spans="1:16" s="1335" customFormat="1">
      <c r="A1033" s="1334"/>
      <c r="B1033" s="1290"/>
      <c r="C1033" s="1290"/>
      <c r="G1033" s="1290"/>
      <c r="H1033" s="1290"/>
      <c r="I1033" s="1290"/>
      <c r="J1033" s="1290"/>
      <c r="K1033" s="1290"/>
      <c r="L1033" s="1290"/>
      <c r="M1033" s="1290"/>
      <c r="N1033" s="1290"/>
      <c r="O1033" s="1290"/>
      <c r="P1033" s="1290"/>
    </row>
    <row r="1034" spans="1:16" s="1335" customFormat="1">
      <c r="A1034" s="1334"/>
      <c r="B1034" s="1290"/>
      <c r="C1034" s="1290"/>
      <c r="G1034" s="1290"/>
      <c r="H1034" s="1290"/>
      <c r="I1034" s="1290"/>
      <c r="J1034" s="1290"/>
      <c r="K1034" s="1290"/>
      <c r="L1034" s="1290"/>
      <c r="M1034" s="1290"/>
      <c r="N1034" s="1290"/>
      <c r="O1034" s="1290"/>
      <c r="P1034" s="1290"/>
    </row>
    <row r="1035" spans="1:16" s="1335" customFormat="1">
      <c r="A1035" s="1334"/>
      <c r="B1035" s="1290"/>
      <c r="C1035" s="1290"/>
      <c r="G1035" s="1290"/>
      <c r="H1035" s="1290"/>
      <c r="I1035" s="1290"/>
      <c r="J1035" s="1290"/>
      <c r="K1035" s="1290"/>
      <c r="L1035" s="1290"/>
      <c r="M1035" s="1290"/>
      <c r="N1035" s="1290"/>
      <c r="O1035" s="1290"/>
      <c r="P1035" s="1290"/>
    </row>
    <row r="1036" spans="1:16" s="1335" customFormat="1">
      <c r="A1036" s="1334"/>
      <c r="B1036" s="1290"/>
      <c r="C1036" s="1290"/>
      <c r="G1036" s="1290"/>
      <c r="H1036" s="1290"/>
      <c r="I1036" s="1290"/>
      <c r="J1036" s="1290"/>
      <c r="K1036" s="1290"/>
      <c r="L1036" s="1290"/>
      <c r="M1036" s="1290"/>
      <c r="N1036" s="1290"/>
      <c r="O1036" s="1290"/>
      <c r="P1036" s="1290"/>
    </row>
    <row r="1037" spans="1:16" s="1335" customFormat="1">
      <c r="A1037" s="1334"/>
      <c r="B1037" s="1290"/>
      <c r="C1037" s="1290"/>
      <c r="G1037" s="1290"/>
      <c r="H1037" s="1290"/>
      <c r="I1037" s="1290"/>
      <c r="J1037" s="1290"/>
      <c r="K1037" s="1290"/>
      <c r="L1037" s="1290"/>
      <c r="M1037" s="1290"/>
      <c r="N1037" s="1290"/>
      <c r="O1037" s="1290"/>
      <c r="P1037" s="1290"/>
    </row>
    <row r="1038" spans="1:16" s="1335" customFormat="1">
      <c r="A1038" s="1334"/>
      <c r="B1038" s="1290"/>
      <c r="C1038" s="1290"/>
      <c r="G1038" s="1290"/>
      <c r="H1038" s="1290"/>
      <c r="I1038" s="1290"/>
      <c r="J1038" s="1290"/>
      <c r="K1038" s="1290"/>
      <c r="L1038" s="1290"/>
      <c r="M1038" s="1290"/>
      <c r="N1038" s="1290"/>
      <c r="O1038" s="1290"/>
      <c r="P1038" s="1290"/>
    </row>
    <row r="1039" spans="1:16" s="1335" customFormat="1">
      <c r="A1039" s="1334"/>
      <c r="B1039" s="1290"/>
      <c r="C1039" s="1290"/>
      <c r="G1039" s="1290"/>
      <c r="H1039" s="1290"/>
      <c r="I1039" s="1290"/>
      <c r="J1039" s="1290"/>
      <c r="K1039" s="1290"/>
      <c r="L1039" s="1290"/>
      <c r="M1039" s="1290"/>
      <c r="N1039" s="1290"/>
      <c r="O1039" s="1290"/>
      <c r="P1039" s="1290"/>
    </row>
    <row r="1040" spans="1:16" s="1335" customFormat="1">
      <c r="A1040" s="1334"/>
      <c r="B1040" s="1290"/>
      <c r="C1040" s="1290"/>
      <c r="G1040" s="1290"/>
      <c r="H1040" s="1290"/>
      <c r="I1040" s="1290"/>
      <c r="J1040" s="1290"/>
      <c r="K1040" s="1290"/>
      <c r="L1040" s="1290"/>
      <c r="M1040" s="1290"/>
      <c r="N1040" s="1290"/>
      <c r="O1040" s="1290"/>
      <c r="P1040" s="1290"/>
    </row>
    <row r="1041" spans="1:16" s="1335" customFormat="1">
      <c r="A1041" s="1334"/>
      <c r="B1041" s="1290"/>
      <c r="C1041" s="1290"/>
      <c r="G1041" s="1290"/>
      <c r="H1041" s="1290"/>
      <c r="I1041" s="1290"/>
      <c r="J1041" s="1290"/>
      <c r="K1041" s="1290"/>
      <c r="L1041" s="1290"/>
      <c r="M1041" s="1290"/>
      <c r="N1041" s="1290"/>
      <c r="O1041" s="1290"/>
      <c r="P1041" s="1290"/>
    </row>
    <row r="1042" spans="1:16" s="1335" customFormat="1">
      <c r="A1042" s="1334"/>
      <c r="B1042" s="1290"/>
      <c r="C1042" s="1290"/>
      <c r="G1042" s="1290"/>
      <c r="H1042" s="1290"/>
      <c r="I1042" s="1290"/>
      <c r="J1042" s="1290"/>
      <c r="K1042" s="1290"/>
      <c r="L1042" s="1290"/>
      <c r="M1042" s="1290"/>
      <c r="N1042" s="1290"/>
      <c r="O1042" s="1290"/>
      <c r="P1042" s="1290"/>
    </row>
    <row r="1043" spans="1:16" s="1335" customFormat="1">
      <c r="A1043" s="1334"/>
      <c r="B1043" s="1290"/>
      <c r="C1043" s="1290"/>
      <c r="G1043" s="1290"/>
      <c r="H1043" s="1290"/>
      <c r="I1043" s="1290"/>
      <c r="J1043" s="1290"/>
      <c r="K1043" s="1290"/>
      <c r="L1043" s="1290"/>
      <c r="M1043" s="1290"/>
      <c r="N1043" s="1290"/>
      <c r="O1043" s="1290"/>
      <c r="P1043" s="1290"/>
    </row>
    <row r="1044" spans="1:16" s="1335" customFormat="1">
      <c r="A1044" s="1334"/>
      <c r="B1044" s="1290"/>
      <c r="C1044" s="1290"/>
      <c r="G1044" s="1290"/>
      <c r="H1044" s="1290"/>
      <c r="I1044" s="1290"/>
      <c r="J1044" s="1290"/>
      <c r="K1044" s="1290"/>
      <c r="L1044" s="1290"/>
      <c r="M1044" s="1290"/>
      <c r="N1044" s="1290"/>
      <c r="O1044" s="1290"/>
      <c r="P1044" s="1290"/>
    </row>
    <row r="1045" spans="1:16" s="1335" customFormat="1">
      <c r="A1045" s="1334"/>
      <c r="B1045" s="1290"/>
      <c r="C1045" s="1290"/>
      <c r="G1045" s="1290"/>
      <c r="H1045" s="1290"/>
      <c r="I1045" s="1290"/>
      <c r="J1045" s="1290"/>
      <c r="K1045" s="1290"/>
      <c r="L1045" s="1290"/>
      <c r="M1045" s="1290"/>
      <c r="N1045" s="1290"/>
      <c r="O1045" s="1290"/>
      <c r="P1045" s="1290"/>
    </row>
    <row r="1046" spans="1:16" s="1335" customFormat="1">
      <c r="A1046" s="1334"/>
      <c r="B1046" s="1290"/>
      <c r="C1046" s="1290"/>
      <c r="G1046" s="1290"/>
      <c r="H1046" s="1290"/>
      <c r="I1046" s="1290"/>
      <c r="J1046" s="1290"/>
      <c r="K1046" s="1290"/>
      <c r="L1046" s="1290"/>
      <c r="M1046" s="1290"/>
      <c r="N1046" s="1290"/>
      <c r="O1046" s="1290"/>
      <c r="P1046" s="1290"/>
    </row>
    <row r="1047" spans="1:16" s="1335" customFormat="1">
      <c r="A1047" s="1334"/>
      <c r="B1047" s="1290"/>
      <c r="C1047" s="1290"/>
      <c r="G1047" s="1290"/>
      <c r="H1047" s="1290"/>
      <c r="I1047" s="1290"/>
      <c r="J1047" s="1290"/>
      <c r="K1047" s="1290"/>
      <c r="L1047" s="1290"/>
      <c r="M1047" s="1290"/>
      <c r="N1047" s="1290"/>
      <c r="O1047" s="1290"/>
      <c r="P1047" s="1290"/>
    </row>
    <row r="1048" spans="1:16" s="1335" customFormat="1">
      <c r="A1048" s="1334"/>
      <c r="B1048" s="1290"/>
      <c r="C1048" s="1290"/>
      <c r="G1048" s="1290"/>
      <c r="H1048" s="1290"/>
      <c r="I1048" s="1290"/>
      <c r="J1048" s="1290"/>
      <c r="K1048" s="1290"/>
      <c r="L1048" s="1290"/>
      <c r="M1048" s="1290"/>
      <c r="N1048" s="1290"/>
      <c r="O1048" s="1290"/>
      <c r="P1048" s="1290"/>
    </row>
    <row r="1049" spans="1:16" s="1335" customFormat="1">
      <c r="A1049" s="1334"/>
      <c r="B1049" s="1290"/>
      <c r="C1049" s="1290"/>
      <c r="G1049" s="1290"/>
      <c r="H1049" s="1290"/>
      <c r="I1049" s="1290"/>
      <c r="J1049" s="1290"/>
      <c r="K1049" s="1290"/>
      <c r="L1049" s="1290"/>
      <c r="M1049" s="1290"/>
      <c r="N1049" s="1290"/>
      <c r="O1049" s="1290"/>
      <c r="P1049" s="1290"/>
    </row>
    <row r="1050" spans="1:16" s="1335" customFormat="1">
      <c r="A1050" s="1334"/>
      <c r="B1050" s="1290"/>
      <c r="C1050" s="1290"/>
      <c r="G1050" s="1290"/>
      <c r="H1050" s="1290"/>
      <c r="I1050" s="1290"/>
      <c r="J1050" s="1290"/>
      <c r="K1050" s="1290"/>
      <c r="L1050" s="1290"/>
      <c r="M1050" s="1290"/>
      <c r="N1050" s="1290"/>
      <c r="O1050" s="1290"/>
      <c r="P1050" s="1290"/>
    </row>
    <row r="1051" spans="1:16" s="1335" customFormat="1">
      <c r="A1051" s="1334"/>
      <c r="B1051" s="1290"/>
      <c r="C1051" s="1290"/>
      <c r="G1051" s="1290"/>
      <c r="H1051" s="1290"/>
      <c r="I1051" s="1290"/>
      <c r="J1051" s="1290"/>
      <c r="K1051" s="1290"/>
      <c r="L1051" s="1290"/>
      <c r="M1051" s="1290"/>
      <c r="N1051" s="1290"/>
      <c r="O1051" s="1290"/>
      <c r="P1051" s="1290"/>
    </row>
    <row r="1052" spans="1:16" s="1335" customFormat="1">
      <c r="A1052" s="1334"/>
      <c r="B1052" s="1290"/>
      <c r="C1052" s="1290"/>
      <c r="G1052" s="1290"/>
      <c r="H1052" s="1290"/>
      <c r="I1052" s="1290"/>
      <c r="J1052" s="1290"/>
      <c r="K1052" s="1290"/>
      <c r="L1052" s="1290"/>
      <c r="M1052" s="1290"/>
      <c r="N1052" s="1290"/>
      <c r="O1052" s="1290"/>
      <c r="P1052" s="1290"/>
    </row>
    <row r="1053" spans="1:16" s="1335" customFormat="1">
      <c r="A1053" s="1334"/>
      <c r="B1053" s="1290"/>
      <c r="C1053" s="1290"/>
      <c r="G1053" s="1290"/>
      <c r="H1053" s="1290"/>
      <c r="I1053" s="1290"/>
      <c r="J1053" s="1290"/>
      <c r="K1053" s="1290"/>
      <c r="L1053" s="1290"/>
      <c r="M1053" s="1290"/>
      <c r="N1053" s="1290"/>
      <c r="O1053" s="1290"/>
      <c r="P1053" s="1290"/>
    </row>
    <row r="1054" spans="1:16" s="1335" customFormat="1">
      <c r="A1054" s="1334"/>
      <c r="B1054" s="1290"/>
      <c r="C1054" s="1290"/>
      <c r="G1054" s="1290"/>
      <c r="H1054" s="1290"/>
      <c r="I1054" s="1290"/>
      <c r="J1054" s="1290"/>
      <c r="K1054" s="1290"/>
      <c r="L1054" s="1290"/>
      <c r="M1054" s="1290"/>
      <c r="N1054" s="1290"/>
      <c r="O1054" s="1290"/>
      <c r="P1054" s="1290"/>
    </row>
    <row r="1055" spans="1:16" s="1335" customFormat="1">
      <c r="A1055" s="1334"/>
      <c r="B1055" s="1290"/>
      <c r="C1055" s="1290"/>
      <c r="G1055" s="1290"/>
      <c r="H1055" s="1290"/>
      <c r="I1055" s="1290"/>
      <c r="J1055" s="1290"/>
      <c r="K1055" s="1290"/>
      <c r="L1055" s="1290"/>
      <c r="M1055" s="1290"/>
      <c r="N1055" s="1290"/>
      <c r="O1055" s="1290"/>
      <c r="P1055" s="1290"/>
    </row>
    <row r="1056" spans="1:16" s="1335" customFormat="1">
      <c r="A1056" s="1334"/>
      <c r="B1056" s="1290"/>
      <c r="C1056" s="1290"/>
      <c r="G1056" s="1290"/>
      <c r="H1056" s="1290"/>
      <c r="I1056" s="1290"/>
      <c r="J1056" s="1290"/>
      <c r="K1056" s="1290"/>
      <c r="L1056" s="1290"/>
      <c r="M1056" s="1290"/>
      <c r="N1056" s="1290"/>
      <c r="O1056" s="1290"/>
      <c r="P1056" s="1290"/>
    </row>
    <row r="1057" spans="1:16" s="1335" customFormat="1">
      <c r="A1057" s="1334"/>
      <c r="B1057" s="1290"/>
      <c r="C1057" s="1290"/>
      <c r="G1057" s="1290"/>
      <c r="H1057" s="1290"/>
      <c r="I1057" s="1290"/>
      <c r="J1057" s="1290"/>
      <c r="K1057" s="1290"/>
      <c r="L1057" s="1290"/>
      <c r="M1057" s="1290"/>
      <c r="N1057" s="1290"/>
      <c r="O1057" s="1290"/>
      <c r="P1057" s="1290"/>
    </row>
    <row r="1058" spans="1:16" s="1335" customFormat="1">
      <c r="A1058" s="1334"/>
      <c r="B1058" s="1290"/>
      <c r="C1058" s="1290"/>
      <c r="G1058" s="1290"/>
      <c r="H1058" s="1290"/>
      <c r="I1058" s="1290"/>
      <c r="J1058" s="1290"/>
      <c r="K1058" s="1290"/>
      <c r="L1058" s="1290"/>
      <c r="M1058" s="1290"/>
      <c r="N1058" s="1290"/>
      <c r="O1058" s="1290"/>
      <c r="P1058" s="1290"/>
    </row>
    <row r="1059" spans="1:16" s="1335" customFormat="1">
      <c r="A1059" s="1334"/>
      <c r="B1059" s="1290"/>
      <c r="C1059" s="1290"/>
      <c r="G1059" s="1290"/>
      <c r="H1059" s="1290"/>
      <c r="I1059" s="1290"/>
      <c r="J1059" s="1290"/>
      <c r="K1059" s="1290"/>
      <c r="L1059" s="1290"/>
      <c r="M1059" s="1290"/>
      <c r="N1059" s="1290"/>
      <c r="O1059" s="1290"/>
      <c r="P1059" s="1290"/>
    </row>
    <row r="1060" spans="1:16" s="1335" customFormat="1">
      <c r="A1060" s="1334"/>
      <c r="B1060" s="1290"/>
      <c r="C1060" s="1290"/>
      <c r="G1060" s="1290"/>
      <c r="H1060" s="1290"/>
      <c r="I1060" s="1290"/>
      <c r="J1060" s="1290"/>
      <c r="K1060" s="1290"/>
      <c r="L1060" s="1290"/>
      <c r="M1060" s="1290"/>
      <c r="N1060" s="1290"/>
      <c r="O1060" s="1290"/>
      <c r="P1060" s="1290"/>
    </row>
    <row r="1061" spans="1:16" s="1335" customFormat="1">
      <c r="A1061" s="1334"/>
      <c r="B1061" s="1290"/>
      <c r="C1061" s="1290"/>
      <c r="G1061" s="1290"/>
      <c r="H1061" s="1290"/>
      <c r="I1061" s="1290"/>
      <c r="J1061" s="1290"/>
      <c r="K1061" s="1290"/>
      <c r="L1061" s="1290"/>
      <c r="M1061" s="1290"/>
      <c r="N1061" s="1290"/>
      <c r="O1061" s="1290"/>
      <c r="P1061" s="1290"/>
    </row>
    <row r="1062" spans="1:16" s="1335" customFormat="1">
      <c r="A1062" s="1334"/>
      <c r="B1062" s="1290"/>
      <c r="C1062" s="1290"/>
      <c r="G1062" s="1290"/>
      <c r="H1062" s="1290"/>
      <c r="I1062" s="1290"/>
      <c r="J1062" s="1290"/>
      <c r="K1062" s="1290"/>
      <c r="L1062" s="1290"/>
      <c r="M1062" s="1290"/>
      <c r="N1062" s="1290"/>
      <c r="O1062" s="1290"/>
      <c r="P1062" s="1290"/>
    </row>
    <row r="1063" spans="1:16" s="1335" customFormat="1">
      <c r="A1063" s="1334"/>
      <c r="B1063" s="1290"/>
      <c r="C1063" s="1290"/>
      <c r="G1063" s="1290"/>
      <c r="H1063" s="1290"/>
      <c r="I1063" s="1290"/>
      <c r="J1063" s="1290"/>
      <c r="K1063" s="1290"/>
      <c r="L1063" s="1290"/>
      <c r="M1063" s="1290"/>
      <c r="N1063" s="1290"/>
      <c r="O1063" s="1290"/>
      <c r="P1063" s="1290"/>
    </row>
    <row r="1064" spans="1:16" s="1335" customFormat="1">
      <c r="A1064" s="1334"/>
      <c r="B1064" s="1290"/>
      <c r="C1064" s="1290"/>
      <c r="G1064" s="1290"/>
      <c r="H1064" s="1290"/>
      <c r="I1064" s="1290"/>
      <c r="J1064" s="1290"/>
      <c r="K1064" s="1290"/>
      <c r="L1064" s="1290"/>
      <c r="M1064" s="1290"/>
      <c r="N1064" s="1290"/>
      <c r="O1064" s="1290"/>
      <c r="P1064" s="1290"/>
    </row>
    <row r="1065" spans="1:16" s="1335" customFormat="1">
      <c r="A1065" s="1334"/>
      <c r="B1065" s="1290"/>
      <c r="C1065" s="1290"/>
      <c r="G1065" s="1290"/>
      <c r="H1065" s="1290"/>
      <c r="I1065" s="1290"/>
      <c r="J1065" s="1290"/>
      <c r="K1065" s="1290"/>
      <c r="L1065" s="1290"/>
      <c r="M1065" s="1290"/>
      <c r="N1065" s="1290"/>
      <c r="O1065" s="1290"/>
      <c r="P1065" s="1290"/>
    </row>
    <row r="1066" spans="1:16" s="1335" customFormat="1">
      <c r="A1066" s="1334"/>
      <c r="B1066" s="1290"/>
      <c r="C1066" s="1290"/>
      <c r="G1066" s="1290"/>
      <c r="H1066" s="1290"/>
      <c r="I1066" s="1290"/>
      <c r="J1066" s="1290"/>
      <c r="K1066" s="1290"/>
      <c r="L1066" s="1290"/>
      <c r="M1066" s="1290"/>
      <c r="N1066" s="1290"/>
      <c r="O1066" s="1290"/>
      <c r="P1066" s="1290"/>
    </row>
    <row r="1067" spans="1:16" s="1335" customFormat="1">
      <c r="A1067" s="1334"/>
      <c r="B1067" s="1290"/>
      <c r="C1067" s="1290"/>
      <c r="G1067" s="1290"/>
      <c r="H1067" s="1290"/>
      <c r="I1067" s="1290"/>
      <c r="J1067" s="1290"/>
      <c r="K1067" s="1290"/>
      <c r="L1067" s="1290"/>
      <c r="M1067" s="1290"/>
      <c r="N1067" s="1290"/>
      <c r="O1067" s="1290"/>
      <c r="P1067" s="1290"/>
    </row>
    <row r="1068" spans="1:16" s="1335" customFormat="1">
      <c r="A1068" s="1334"/>
      <c r="B1068" s="1290"/>
      <c r="C1068" s="1290"/>
      <c r="G1068" s="1290"/>
      <c r="H1068" s="1290"/>
      <c r="I1068" s="1290"/>
      <c r="J1068" s="1290"/>
      <c r="K1068" s="1290"/>
      <c r="L1068" s="1290"/>
      <c r="M1068" s="1290"/>
      <c r="N1068" s="1290"/>
      <c r="O1068" s="1290"/>
      <c r="P1068" s="1290"/>
    </row>
    <row r="1069" spans="1:16" s="1335" customFormat="1">
      <c r="A1069" s="1334"/>
      <c r="B1069" s="1290"/>
      <c r="C1069" s="1290"/>
      <c r="G1069" s="1290"/>
      <c r="H1069" s="1290"/>
      <c r="I1069" s="1290"/>
      <c r="J1069" s="1290"/>
      <c r="K1069" s="1290"/>
      <c r="L1069" s="1290"/>
      <c r="M1069" s="1290"/>
      <c r="N1069" s="1290"/>
      <c r="O1069" s="1290"/>
      <c r="P1069" s="1290"/>
    </row>
    <row r="1070" spans="1:16" s="1335" customFormat="1">
      <c r="A1070" s="1334"/>
      <c r="B1070" s="1290"/>
      <c r="C1070" s="1290"/>
      <c r="G1070" s="1290"/>
      <c r="H1070" s="1290"/>
      <c r="I1070" s="1290"/>
      <c r="J1070" s="1290"/>
      <c r="K1070" s="1290"/>
      <c r="L1070" s="1290"/>
      <c r="M1070" s="1290"/>
      <c r="N1070" s="1290"/>
      <c r="O1070" s="1290"/>
      <c r="P1070" s="1290"/>
    </row>
    <row r="1071" spans="1:16" s="1335" customFormat="1">
      <c r="A1071" s="1334"/>
      <c r="B1071" s="1290"/>
      <c r="C1071" s="1290"/>
      <c r="G1071" s="1290"/>
      <c r="H1071" s="1290"/>
      <c r="I1071" s="1290"/>
      <c r="J1071" s="1290"/>
      <c r="K1071" s="1290"/>
      <c r="L1071" s="1290"/>
      <c r="M1071" s="1290"/>
      <c r="N1071" s="1290"/>
      <c r="O1071" s="1290"/>
      <c r="P1071" s="1290"/>
    </row>
    <row r="1072" spans="1:16" s="1335" customFormat="1">
      <c r="A1072" s="1334"/>
      <c r="B1072" s="1290"/>
      <c r="C1072" s="1290"/>
      <c r="G1072" s="1290"/>
      <c r="H1072" s="1290"/>
      <c r="I1072" s="1290"/>
      <c r="J1072" s="1290"/>
      <c r="K1072" s="1290"/>
      <c r="L1072" s="1290"/>
      <c r="M1072" s="1290"/>
      <c r="N1072" s="1290"/>
      <c r="O1072" s="1290"/>
      <c r="P1072" s="1290"/>
    </row>
    <row r="1073" spans="1:16" s="1335" customFormat="1">
      <c r="A1073" s="1334"/>
      <c r="B1073" s="1290"/>
      <c r="C1073" s="1290"/>
      <c r="G1073" s="1290"/>
      <c r="H1073" s="1290"/>
      <c r="I1073" s="1290"/>
      <c r="J1073" s="1290"/>
      <c r="K1073" s="1290"/>
      <c r="L1073" s="1290"/>
      <c r="M1073" s="1290"/>
      <c r="N1073" s="1290"/>
      <c r="O1073" s="1290"/>
      <c r="P1073" s="1290"/>
    </row>
    <row r="1074" spans="1:16" s="1335" customFormat="1">
      <c r="A1074" s="1334"/>
      <c r="B1074" s="1290"/>
      <c r="C1074" s="1290"/>
      <c r="G1074" s="1290"/>
      <c r="H1074" s="1290"/>
      <c r="I1074" s="1290"/>
      <c r="J1074" s="1290"/>
      <c r="K1074" s="1290"/>
      <c r="L1074" s="1290"/>
      <c r="M1074" s="1290"/>
      <c r="N1074" s="1290"/>
      <c r="O1074" s="1290"/>
      <c r="P1074" s="1290"/>
    </row>
    <row r="1075" spans="1:16" s="1335" customFormat="1">
      <c r="A1075" s="1334"/>
      <c r="B1075" s="1290"/>
      <c r="C1075" s="1290"/>
      <c r="G1075" s="1290"/>
      <c r="H1075" s="1290"/>
      <c r="I1075" s="1290"/>
      <c r="J1075" s="1290"/>
      <c r="K1075" s="1290"/>
      <c r="L1075" s="1290"/>
      <c r="M1075" s="1290"/>
      <c r="N1075" s="1290"/>
      <c r="O1075" s="1290"/>
      <c r="P1075" s="1290"/>
    </row>
    <row r="1076" spans="1:16" s="1335" customFormat="1">
      <c r="A1076" s="1334"/>
      <c r="B1076" s="1290"/>
      <c r="C1076" s="1290"/>
      <c r="G1076" s="1290"/>
      <c r="H1076" s="1290"/>
      <c r="I1076" s="1290"/>
      <c r="J1076" s="1290"/>
      <c r="K1076" s="1290"/>
      <c r="L1076" s="1290"/>
      <c r="M1076" s="1290"/>
      <c r="N1076" s="1290"/>
      <c r="O1076" s="1290"/>
      <c r="P1076" s="1290"/>
    </row>
    <row r="1077" spans="1:16" s="1335" customFormat="1">
      <c r="A1077" s="1334"/>
      <c r="B1077" s="1290"/>
      <c r="C1077" s="1290"/>
      <c r="G1077" s="1290"/>
      <c r="H1077" s="1290"/>
      <c r="I1077" s="1290"/>
      <c r="J1077" s="1290"/>
      <c r="K1077" s="1290"/>
      <c r="L1077" s="1290"/>
      <c r="M1077" s="1290"/>
      <c r="N1077" s="1290"/>
      <c r="O1077" s="1290"/>
      <c r="P1077" s="1290"/>
    </row>
    <row r="1078" spans="1:16" s="1335" customFormat="1">
      <c r="A1078" s="1334"/>
      <c r="B1078" s="1290"/>
      <c r="C1078" s="1290"/>
      <c r="G1078" s="1290"/>
      <c r="H1078" s="1290"/>
      <c r="I1078" s="1290"/>
      <c r="J1078" s="1290"/>
      <c r="K1078" s="1290"/>
      <c r="L1078" s="1290"/>
      <c r="M1078" s="1290"/>
      <c r="N1078" s="1290"/>
      <c r="O1078" s="1290"/>
      <c r="P1078" s="1290"/>
    </row>
    <row r="1079" spans="1:16" s="1335" customFormat="1">
      <c r="A1079" s="1334"/>
      <c r="B1079" s="1290"/>
      <c r="C1079" s="1290"/>
      <c r="G1079" s="1290"/>
      <c r="H1079" s="1290"/>
      <c r="I1079" s="1290"/>
      <c r="J1079" s="1290"/>
      <c r="K1079" s="1290"/>
      <c r="L1079" s="1290"/>
      <c r="M1079" s="1290"/>
      <c r="N1079" s="1290"/>
      <c r="O1079" s="1290"/>
      <c r="P1079" s="1290"/>
    </row>
    <row r="1080" spans="1:16" s="1335" customFormat="1">
      <c r="A1080" s="1334"/>
      <c r="B1080" s="1290"/>
      <c r="C1080" s="1290"/>
      <c r="G1080" s="1290"/>
      <c r="H1080" s="1290"/>
      <c r="I1080" s="1290"/>
      <c r="J1080" s="1290"/>
      <c r="K1080" s="1290"/>
      <c r="L1080" s="1290"/>
      <c r="M1080" s="1290"/>
      <c r="N1080" s="1290"/>
      <c r="O1080" s="1290"/>
      <c r="P1080" s="1290"/>
    </row>
    <row r="1081" spans="1:16" s="1335" customFormat="1">
      <c r="A1081" s="1334"/>
      <c r="B1081" s="1290"/>
      <c r="C1081" s="1290"/>
      <c r="G1081" s="1290"/>
      <c r="H1081" s="1290"/>
      <c r="I1081" s="1290"/>
      <c r="J1081" s="1290"/>
      <c r="K1081" s="1290"/>
      <c r="L1081" s="1290"/>
      <c r="M1081" s="1290"/>
      <c r="N1081" s="1290"/>
      <c r="O1081" s="1290"/>
      <c r="P1081" s="1290"/>
    </row>
    <row r="1082" spans="1:16" s="1335" customFormat="1">
      <c r="A1082" s="1334"/>
      <c r="B1082" s="1290"/>
      <c r="C1082" s="1290"/>
      <c r="G1082" s="1290"/>
      <c r="H1082" s="1290"/>
      <c r="I1082" s="1290"/>
      <c r="J1082" s="1290"/>
      <c r="K1082" s="1290"/>
      <c r="L1082" s="1290"/>
      <c r="M1082" s="1290"/>
      <c r="N1082" s="1290"/>
      <c r="O1082" s="1290"/>
      <c r="P1082" s="1290"/>
    </row>
    <row r="1083" spans="1:16" s="1335" customFormat="1">
      <c r="A1083" s="1334"/>
      <c r="B1083" s="1290"/>
      <c r="C1083" s="1290"/>
      <c r="G1083" s="1290"/>
      <c r="H1083" s="1290"/>
      <c r="I1083" s="1290"/>
      <c r="J1083" s="1290"/>
      <c r="K1083" s="1290"/>
      <c r="L1083" s="1290"/>
      <c r="M1083" s="1290"/>
      <c r="N1083" s="1290"/>
      <c r="O1083" s="1290"/>
      <c r="P1083" s="1290"/>
    </row>
    <row r="1084" spans="1:16" s="1335" customFormat="1">
      <c r="A1084" s="1334"/>
      <c r="B1084" s="1290"/>
      <c r="C1084" s="1290"/>
      <c r="G1084" s="1290"/>
      <c r="H1084" s="1290"/>
      <c r="I1084" s="1290"/>
      <c r="J1084" s="1290"/>
      <c r="K1084" s="1290"/>
      <c r="L1084" s="1290"/>
      <c r="M1084" s="1290"/>
      <c r="N1084" s="1290"/>
      <c r="O1084" s="1290"/>
      <c r="P1084" s="1290"/>
    </row>
    <row r="1085" spans="1:16" s="1335" customFormat="1">
      <c r="A1085" s="1334"/>
      <c r="B1085" s="1290"/>
      <c r="C1085" s="1290"/>
      <c r="G1085" s="1290"/>
      <c r="H1085" s="1290"/>
      <c r="I1085" s="1290"/>
      <c r="J1085" s="1290"/>
      <c r="K1085" s="1290"/>
      <c r="L1085" s="1290"/>
      <c r="M1085" s="1290"/>
      <c r="N1085" s="1290"/>
      <c r="O1085" s="1290"/>
      <c r="P1085" s="1290"/>
    </row>
    <row r="1086" spans="1:16" s="1335" customFormat="1">
      <c r="A1086" s="1334"/>
      <c r="B1086" s="1290"/>
      <c r="C1086" s="1290"/>
      <c r="G1086" s="1290"/>
      <c r="H1086" s="1290"/>
      <c r="I1086" s="1290"/>
      <c r="J1086" s="1290"/>
      <c r="K1086" s="1290"/>
      <c r="L1086" s="1290"/>
      <c r="M1086" s="1290"/>
      <c r="N1086" s="1290"/>
      <c r="O1086" s="1290"/>
      <c r="P1086" s="1290"/>
    </row>
    <row r="1087" spans="1:16" s="1335" customFormat="1">
      <c r="A1087" s="1334"/>
      <c r="B1087" s="1290"/>
      <c r="C1087" s="1290"/>
      <c r="G1087" s="1290"/>
      <c r="H1087" s="1290"/>
      <c r="I1087" s="1290"/>
      <c r="J1087" s="1290"/>
      <c r="K1087" s="1290"/>
      <c r="L1087" s="1290"/>
      <c r="M1087" s="1290"/>
      <c r="N1087" s="1290"/>
      <c r="O1087" s="1290"/>
      <c r="P1087" s="1290"/>
    </row>
    <row r="1088" spans="1:16" s="1335" customFormat="1">
      <c r="A1088" s="1334"/>
      <c r="B1088" s="1290"/>
      <c r="C1088" s="1290"/>
      <c r="G1088" s="1290"/>
      <c r="H1088" s="1290"/>
      <c r="I1088" s="1290"/>
      <c r="J1088" s="1290"/>
      <c r="K1088" s="1290"/>
      <c r="L1088" s="1290"/>
      <c r="M1088" s="1290"/>
      <c r="N1088" s="1290"/>
      <c r="O1088" s="1290"/>
      <c r="P1088" s="1290"/>
    </row>
    <row r="1089" spans="1:16" s="1335" customFormat="1">
      <c r="A1089" s="1334"/>
      <c r="B1089" s="1290"/>
      <c r="C1089" s="1290"/>
      <c r="G1089" s="1290"/>
      <c r="H1089" s="1290"/>
      <c r="I1089" s="1290"/>
      <c r="J1089" s="1290"/>
      <c r="K1089" s="1290"/>
      <c r="L1089" s="1290"/>
      <c r="M1089" s="1290"/>
      <c r="N1089" s="1290"/>
      <c r="O1089" s="1290"/>
      <c r="P1089" s="1290"/>
    </row>
    <row r="1090" spans="1:16" s="1335" customFormat="1">
      <c r="A1090" s="1334"/>
      <c r="B1090" s="1290"/>
      <c r="C1090" s="1290"/>
      <c r="G1090" s="1290"/>
      <c r="H1090" s="1290"/>
      <c r="I1090" s="1290"/>
      <c r="J1090" s="1290"/>
      <c r="K1090" s="1290"/>
      <c r="L1090" s="1290"/>
      <c r="M1090" s="1290"/>
      <c r="N1090" s="1290"/>
      <c r="O1090" s="1290"/>
      <c r="P1090" s="1290"/>
    </row>
    <row r="1091" spans="1:16" s="1335" customFormat="1">
      <c r="A1091" s="1334"/>
      <c r="B1091" s="1290"/>
      <c r="C1091" s="1290"/>
      <c r="G1091" s="1290"/>
      <c r="H1091" s="1290"/>
      <c r="I1091" s="1290"/>
      <c r="J1091" s="1290"/>
      <c r="K1091" s="1290"/>
      <c r="L1091" s="1290"/>
      <c r="M1091" s="1290"/>
      <c r="N1091" s="1290"/>
      <c r="O1091" s="1290"/>
      <c r="P1091" s="1290"/>
    </row>
    <row r="1092" spans="1:16" s="1335" customFormat="1">
      <c r="A1092" s="1334"/>
      <c r="B1092" s="1290"/>
      <c r="C1092" s="1290"/>
      <c r="G1092" s="1290"/>
      <c r="H1092" s="1290"/>
      <c r="I1092" s="1290"/>
      <c r="J1092" s="1290"/>
      <c r="K1092" s="1290"/>
      <c r="L1092" s="1290"/>
      <c r="M1092" s="1290"/>
      <c r="N1092" s="1290"/>
      <c r="O1092" s="1290"/>
      <c r="P1092" s="1290"/>
    </row>
    <row r="1093" spans="1:16" s="1335" customFormat="1">
      <c r="A1093" s="1334"/>
      <c r="B1093" s="1290"/>
      <c r="C1093" s="1290"/>
      <c r="G1093" s="1290"/>
      <c r="H1093" s="1290"/>
      <c r="I1093" s="1290"/>
      <c r="J1093" s="1290"/>
      <c r="K1093" s="1290"/>
      <c r="L1093" s="1290"/>
      <c r="M1093" s="1290"/>
      <c r="N1093" s="1290"/>
      <c r="O1093" s="1290"/>
      <c r="P1093" s="1290"/>
    </row>
    <row r="1094" spans="1:16" s="1335" customFormat="1">
      <c r="A1094" s="1334"/>
      <c r="B1094" s="1290"/>
      <c r="C1094" s="1290"/>
      <c r="G1094" s="1290"/>
      <c r="H1094" s="1290"/>
      <c r="I1094" s="1290"/>
      <c r="J1094" s="1290"/>
      <c r="K1094" s="1290"/>
      <c r="L1094" s="1290"/>
      <c r="M1094" s="1290"/>
      <c r="N1094" s="1290"/>
      <c r="O1094" s="1290"/>
      <c r="P1094" s="1290"/>
    </row>
    <row r="1095" spans="1:16" s="1335" customFormat="1">
      <c r="A1095" s="1334"/>
      <c r="B1095" s="1290"/>
      <c r="C1095" s="1290"/>
      <c r="G1095" s="1290"/>
      <c r="H1095" s="1290"/>
      <c r="I1095" s="1290"/>
      <c r="J1095" s="1290"/>
      <c r="K1095" s="1290"/>
      <c r="L1095" s="1290"/>
      <c r="M1095" s="1290"/>
      <c r="N1095" s="1290"/>
      <c r="O1095" s="1290"/>
      <c r="P1095" s="1290"/>
    </row>
    <row r="1096" spans="1:16" s="1335" customFormat="1">
      <c r="A1096" s="1334"/>
      <c r="B1096" s="1290"/>
      <c r="C1096" s="1290"/>
      <c r="G1096" s="1290"/>
      <c r="H1096" s="1290"/>
      <c r="I1096" s="1290"/>
      <c r="J1096" s="1290"/>
      <c r="K1096" s="1290"/>
      <c r="L1096" s="1290"/>
      <c r="M1096" s="1290"/>
      <c r="N1096" s="1290"/>
      <c r="O1096" s="1290"/>
      <c r="P1096" s="1290"/>
    </row>
    <row r="1097" spans="1:16" s="1335" customFormat="1">
      <c r="A1097" s="1334"/>
      <c r="B1097" s="1290"/>
      <c r="C1097" s="1290"/>
      <c r="G1097" s="1290"/>
      <c r="H1097" s="1290"/>
      <c r="I1097" s="1290"/>
      <c r="J1097" s="1290"/>
      <c r="K1097" s="1290"/>
      <c r="L1097" s="1290"/>
      <c r="M1097" s="1290"/>
      <c r="N1097" s="1290"/>
      <c r="O1097" s="1290"/>
      <c r="P1097" s="1290"/>
    </row>
    <row r="1098" spans="1:16" s="1335" customFormat="1">
      <c r="A1098" s="1334"/>
      <c r="B1098" s="1290"/>
      <c r="C1098" s="1290"/>
      <c r="G1098" s="1290"/>
      <c r="H1098" s="1290"/>
      <c r="I1098" s="1290"/>
      <c r="J1098" s="1290"/>
      <c r="K1098" s="1290"/>
      <c r="L1098" s="1290"/>
      <c r="M1098" s="1290"/>
      <c r="N1098" s="1290"/>
      <c r="O1098" s="1290"/>
      <c r="P1098" s="1290"/>
    </row>
    <row r="1099" spans="1:16" s="1335" customFormat="1">
      <c r="A1099" s="1334"/>
      <c r="B1099" s="1290"/>
      <c r="C1099" s="1290"/>
      <c r="G1099" s="1290"/>
      <c r="H1099" s="1290"/>
      <c r="I1099" s="1290"/>
      <c r="J1099" s="1290"/>
      <c r="K1099" s="1290"/>
      <c r="L1099" s="1290"/>
      <c r="M1099" s="1290"/>
      <c r="N1099" s="1290"/>
      <c r="O1099" s="1290"/>
      <c r="P1099" s="1290"/>
    </row>
    <row r="1100" spans="1:16" s="1335" customFormat="1">
      <c r="A1100" s="1334"/>
      <c r="B1100" s="1290"/>
      <c r="C1100" s="1290"/>
      <c r="G1100" s="1290"/>
      <c r="H1100" s="1290"/>
      <c r="I1100" s="1290"/>
      <c r="J1100" s="1290"/>
      <c r="K1100" s="1290"/>
      <c r="L1100" s="1290"/>
      <c r="M1100" s="1290"/>
      <c r="N1100" s="1290"/>
      <c r="O1100" s="1290"/>
      <c r="P1100" s="1290"/>
    </row>
    <row r="1101" spans="1:16" s="1335" customFormat="1">
      <c r="A1101" s="1334"/>
      <c r="B1101" s="1290"/>
      <c r="C1101" s="1290"/>
      <c r="G1101" s="1290"/>
      <c r="H1101" s="1290"/>
      <c r="I1101" s="1290"/>
      <c r="J1101" s="1290"/>
      <c r="K1101" s="1290"/>
      <c r="L1101" s="1290"/>
      <c r="M1101" s="1290"/>
      <c r="N1101" s="1290"/>
      <c r="O1101" s="1290"/>
      <c r="P1101" s="1290"/>
    </row>
    <row r="1102" spans="1:16" s="1335" customFormat="1">
      <c r="A1102" s="1334"/>
      <c r="B1102" s="1290"/>
      <c r="C1102" s="1290"/>
      <c r="G1102" s="1290"/>
      <c r="H1102" s="1290"/>
      <c r="I1102" s="1290"/>
      <c r="J1102" s="1290"/>
      <c r="K1102" s="1290"/>
      <c r="L1102" s="1290"/>
      <c r="M1102" s="1290"/>
      <c r="N1102" s="1290"/>
      <c r="O1102" s="1290"/>
      <c r="P1102" s="1290"/>
    </row>
    <row r="1103" spans="1:16" s="1335" customFormat="1">
      <c r="A1103" s="1334"/>
      <c r="B1103" s="1290"/>
      <c r="C1103" s="1290"/>
      <c r="G1103" s="1290"/>
      <c r="H1103" s="1290"/>
      <c r="I1103" s="1290"/>
      <c r="J1103" s="1290"/>
      <c r="K1103" s="1290"/>
      <c r="L1103" s="1290"/>
      <c r="M1103" s="1290"/>
      <c r="N1103" s="1290"/>
      <c r="O1103" s="1290"/>
      <c r="P1103" s="1290"/>
    </row>
    <row r="1104" spans="1:16" s="1335" customFormat="1">
      <c r="A1104" s="1334"/>
      <c r="B1104" s="1290"/>
      <c r="C1104" s="1290"/>
      <c r="G1104" s="1290"/>
      <c r="H1104" s="1290"/>
      <c r="I1104" s="1290"/>
      <c r="J1104" s="1290"/>
      <c r="K1104" s="1290"/>
      <c r="L1104" s="1290"/>
      <c r="M1104" s="1290"/>
      <c r="N1104" s="1290"/>
      <c r="O1104" s="1290"/>
      <c r="P1104" s="1290"/>
    </row>
    <row r="1105" spans="1:16" s="1335" customFormat="1">
      <c r="A1105" s="1334"/>
      <c r="B1105" s="1290"/>
      <c r="C1105" s="1290"/>
      <c r="G1105" s="1290"/>
      <c r="H1105" s="1290"/>
      <c r="I1105" s="1290"/>
      <c r="J1105" s="1290"/>
      <c r="K1105" s="1290"/>
      <c r="L1105" s="1290"/>
      <c r="M1105" s="1290"/>
      <c r="N1105" s="1290"/>
      <c r="O1105" s="1290"/>
      <c r="P1105" s="1290"/>
    </row>
    <row r="1106" spans="1:16" s="1335" customFormat="1">
      <c r="A1106" s="1334"/>
      <c r="B1106" s="1290"/>
      <c r="C1106" s="1290"/>
      <c r="G1106" s="1290"/>
      <c r="H1106" s="1290"/>
      <c r="I1106" s="1290"/>
      <c r="J1106" s="1290"/>
      <c r="K1106" s="1290"/>
      <c r="L1106" s="1290"/>
      <c r="M1106" s="1290"/>
      <c r="N1106" s="1290"/>
      <c r="O1106" s="1290"/>
      <c r="P1106" s="1290"/>
    </row>
    <row r="1107" spans="1:16" s="1335" customFormat="1">
      <c r="A1107" s="1334"/>
      <c r="B1107" s="1290"/>
      <c r="C1107" s="1290"/>
      <c r="G1107" s="1290"/>
      <c r="H1107" s="1290"/>
      <c r="I1107" s="1290"/>
      <c r="J1107" s="1290"/>
      <c r="K1107" s="1290"/>
      <c r="L1107" s="1290"/>
      <c r="M1107" s="1290"/>
      <c r="N1107" s="1290"/>
      <c r="O1107" s="1290"/>
      <c r="P1107" s="1290"/>
    </row>
    <row r="1108" spans="1:16" s="1335" customFormat="1">
      <c r="A1108" s="1334"/>
      <c r="B1108" s="1290"/>
      <c r="C1108" s="1290"/>
      <c r="G1108" s="1290"/>
      <c r="H1108" s="1290"/>
      <c r="I1108" s="1290"/>
      <c r="J1108" s="1290"/>
      <c r="K1108" s="1290"/>
      <c r="L1108" s="1290"/>
      <c r="M1108" s="1290"/>
      <c r="N1108" s="1290"/>
      <c r="O1108" s="1290"/>
      <c r="P1108" s="1290"/>
    </row>
    <row r="1109" spans="1:16" s="1335" customFormat="1">
      <c r="A1109" s="1334"/>
      <c r="B1109" s="1290"/>
      <c r="C1109" s="1290"/>
      <c r="G1109" s="1290"/>
      <c r="H1109" s="1290"/>
      <c r="I1109" s="1290"/>
      <c r="J1109" s="1290"/>
      <c r="K1109" s="1290"/>
      <c r="L1109" s="1290"/>
      <c r="M1109" s="1290"/>
      <c r="N1109" s="1290"/>
      <c r="O1109" s="1290"/>
      <c r="P1109" s="1290"/>
    </row>
    <row r="1110" spans="1:16" s="1335" customFormat="1">
      <c r="A1110" s="1334"/>
      <c r="B1110" s="1290"/>
      <c r="C1110" s="1290"/>
      <c r="G1110" s="1290"/>
      <c r="H1110" s="1290"/>
      <c r="I1110" s="1290"/>
      <c r="J1110" s="1290"/>
      <c r="K1110" s="1290"/>
      <c r="L1110" s="1290"/>
      <c r="M1110" s="1290"/>
      <c r="N1110" s="1290"/>
      <c r="O1110" s="1290"/>
      <c r="P1110" s="1290"/>
    </row>
    <row r="1111" spans="1:16" s="1335" customFormat="1">
      <c r="A1111" s="1334"/>
      <c r="B1111" s="1290"/>
      <c r="C1111" s="1290"/>
      <c r="G1111" s="1290"/>
      <c r="H1111" s="1290"/>
      <c r="I1111" s="1290"/>
      <c r="J1111" s="1290"/>
      <c r="K1111" s="1290"/>
      <c r="L1111" s="1290"/>
      <c r="M1111" s="1290"/>
      <c r="N1111" s="1290"/>
      <c r="O1111" s="1290"/>
      <c r="P1111" s="1290"/>
    </row>
    <row r="1112" spans="1:16" s="1335" customFormat="1">
      <c r="A1112" s="1334"/>
      <c r="B1112" s="1290"/>
      <c r="C1112" s="1290"/>
      <c r="G1112" s="1290"/>
      <c r="H1112" s="1290"/>
      <c r="I1112" s="1290"/>
      <c r="J1112" s="1290"/>
      <c r="K1112" s="1290"/>
      <c r="L1112" s="1290"/>
      <c r="M1112" s="1290"/>
      <c r="N1112" s="1290"/>
      <c r="O1112" s="1290"/>
      <c r="P1112" s="1290"/>
    </row>
    <row r="1113" spans="1:16" s="1335" customFormat="1">
      <c r="A1113" s="1334"/>
      <c r="B1113" s="1290"/>
      <c r="C1113" s="1290"/>
      <c r="G1113" s="1290"/>
      <c r="H1113" s="1290"/>
      <c r="I1113" s="1290"/>
      <c r="J1113" s="1290"/>
      <c r="K1113" s="1290"/>
      <c r="L1113" s="1290"/>
      <c r="M1113" s="1290"/>
      <c r="N1113" s="1290"/>
      <c r="O1113" s="1290"/>
      <c r="P1113" s="1290"/>
    </row>
    <row r="1114" spans="1:16" s="1335" customFormat="1">
      <c r="A1114" s="1334"/>
      <c r="B1114" s="1290"/>
      <c r="C1114" s="1290"/>
      <c r="G1114" s="1290"/>
      <c r="H1114" s="1290"/>
      <c r="I1114" s="1290"/>
      <c r="J1114" s="1290"/>
      <c r="K1114" s="1290"/>
      <c r="L1114" s="1290"/>
      <c r="M1114" s="1290"/>
      <c r="N1114" s="1290"/>
      <c r="O1114" s="1290"/>
      <c r="P1114" s="1290"/>
    </row>
    <row r="1115" spans="1:16" s="1335" customFormat="1">
      <c r="A1115" s="1334"/>
      <c r="B1115" s="1290"/>
      <c r="C1115" s="1290"/>
      <c r="G1115" s="1290"/>
      <c r="H1115" s="1290"/>
      <c r="I1115" s="1290"/>
      <c r="J1115" s="1290"/>
      <c r="K1115" s="1290"/>
      <c r="L1115" s="1290"/>
      <c r="M1115" s="1290"/>
      <c r="N1115" s="1290"/>
      <c r="O1115" s="1290"/>
      <c r="P1115" s="1290"/>
    </row>
    <row r="1116" spans="1:16" s="1335" customFormat="1">
      <c r="A1116" s="1334"/>
      <c r="B1116" s="1290"/>
      <c r="C1116" s="1290"/>
      <c r="G1116" s="1290"/>
      <c r="H1116" s="1290"/>
      <c r="I1116" s="1290"/>
      <c r="J1116" s="1290"/>
      <c r="K1116" s="1290"/>
      <c r="L1116" s="1290"/>
      <c r="M1116" s="1290"/>
      <c r="N1116" s="1290"/>
      <c r="O1116" s="1290"/>
      <c r="P1116" s="1290"/>
    </row>
    <row r="1117" spans="1:16" s="1335" customFormat="1">
      <c r="A1117" s="1334"/>
      <c r="B1117" s="1290"/>
      <c r="C1117" s="1290"/>
      <c r="G1117" s="1290"/>
      <c r="H1117" s="1290"/>
      <c r="I1117" s="1290"/>
      <c r="J1117" s="1290"/>
      <c r="K1117" s="1290"/>
      <c r="L1117" s="1290"/>
      <c r="M1117" s="1290"/>
      <c r="N1117" s="1290"/>
      <c r="O1117" s="1290"/>
      <c r="P1117" s="1290"/>
    </row>
    <row r="1118" spans="1:16" s="1335" customFormat="1">
      <c r="A1118" s="1334"/>
      <c r="B1118" s="1290"/>
      <c r="C1118" s="1290"/>
      <c r="G1118" s="1290"/>
      <c r="H1118" s="1290"/>
      <c r="I1118" s="1290"/>
      <c r="J1118" s="1290"/>
      <c r="K1118" s="1290"/>
      <c r="L1118" s="1290"/>
      <c r="M1118" s="1290"/>
      <c r="N1118" s="1290"/>
      <c r="O1118" s="1290"/>
      <c r="P1118" s="1290"/>
    </row>
    <row r="1119" spans="1:16" s="1335" customFormat="1">
      <c r="A1119" s="1334"/>
      <c r="B1119" s="1290"/>
      <c r="C1119" s="1290"/>
      <c r="G1119" s="1290"/>
      <c r="H1119" s="1290"/>
      <c r="I1119" s="1290"/>
      <c r="J1119" s="1290"/>
      <c r="K1119" s="1290"/>
      <c r="L1119" s="1290"/>
      <c r="M1119" s="1290"/>
      <c r="N1119" s="1290"/>
      <c r="O1119" s="1290"/>
      <c r="P1119" s="1290"/>
    </row>
    <row r="1120" spans="1:16" s="1335" customFormat="1">
      <c r="A1120" s="1334"/>
      <c r="B1120" s="1290"/>
      <c r="C1120" s="1290"/>
      <c r="G1120" s="1290"/>
      <c r="H1120" s="1290"/>
      <c r="I1120" s="1290"/>
      <c r="J1120" s="1290"/>
      <c r="K1120" s="1290"/>
      <c r="L1120" s="1290"/>
      <c r="M1120" s="1290"/>
      <c r="N1120" s="1290"/>
      <c r="O1120" s="1290"/>
      <c r="P1120" s="1290"/>
    </row>
    <row r="1121" spans="1:16" s="1335" customFormat="1">
      <c r="A1121" s="1334"/>
      <c r="B1121" s="1290"/>
      <c r="C1121" s="1290"/>
      <c r="G1121" s="1290"/>
      <c r="H1121" s="1290"/>
      <c r="I1121" s="1290"/>
      <c r="J1121" s="1290"/>
      <c r="K1121" s="1290"/>
      <c r="L1121" s="1290"/>
      <c r="M1121" s="1290"/>
      <c r="N1121" s="1290"/>
      <c r="O1121" s="1290"/>
      <c r="P1121" s="1290"/>
    </row>
    <row r="1122" spans="1:16" s="1335" customFormat="1">
      <c r="A1122" s="1334"/>
      <c r="B1122" s="1290"/>
      <c r="C1122" s="1290"/>
      <c r="G1122" s="1290"/>
      <c r="H1122" s="1290"/>
      <c r="I1122" s="1290"/>
      <c r="J1122" s="1290"/>
      <c r="K1122" s="1290"/>
      <c r="L1122" s="1290"/>
      <c r="M1122" s="1290"/>
      <c r="N1122" s="1290"/>
      <c r="O1122" s="1290"/>
      <c r="P1122" s="1290"/>
    </row>
    <row r="1123" spans="1:16" s="1335" customFormat="1">
      <c r="A1123" s="1334"/>
      <c r="B1123" s="1290"/>
      <c r="C1123" s="1290"/>
      <c r="G1123" s="1290"/>
      <c r="H1123" s="1290"/>
      <c r="I1123" s="1290"/>
      <c r="J1123" s="1290"/>
      <c r="K1123" s="1290"/>
      <c r="L1123" s="1290"/>
      <c r="M1123" s="1290"/>
      <c r="N1123" s="1290"/>
      <c r="O1123" s="1290"/>
      <c r="P1123" s="1290"/>
    </row>
    <row r="1124" spans="1:16" s="1335" customFormat="1">
      <c r="A1124" s="1334"/>
      <c r="B1124" s="1290"/>
      <c r="C1124" s="1290"/>
      <c r="G1124" s="1290"/>
      <c r="H1124" s="1290"/>
      <c r="I1124" s="1290"/>
      <c r="J1124" s="1290"/>
      <c r="K1124" s="1290"/>
      <c r="L1124" s="1290"/>
      <c r="M1124" s="1290"/>
      <c r="N1124" s="1290"/>
      <c r="O1124" s="1290"/>
      <c r="P1124" s="1290"/>
    </row>
    <row r="1125" spans="1:16" s="1335" customFormat="1">
      <c r="A1125" s="1334"/>
      <c r="B1125" s="1290"/>
      <c r="C1125" s="1290"/>
      <c r="G1125" s="1290"/>
      <c r="H1125" s="1290"/>
      <c r="I1125" s="1290"/>
      <c r="J1125" s="1290"/>
      <c r="K1125" s="1290"/>
      <c r="L1125" s="1290"/>
      <c r="M1125" s="1290"/>
      <c r="N1125" s="1290"/>
      <c r="O1125" s="1290"/>
      <c r="P1125" s="1290"/>
    </row>
    <row r="1126" spans="1:16" s="1335" customFormat="1">
      <c r="A1126" s="1334"/>
      <c r="B1126" s="1290"/>
      <c r="C1126" s="1290"/>
      <c r="G1126" s="1290"/>
      <c r="H1126" s="1290"/>
      <c r="I1126" s="1290"/>
      <c r="J1126" s="1290"/>
      <c r="K1126" s="1290"/>
      <c r="L1126" s="1290"/>
      <c r="M1126" s="1290"/>
      <c r="N1126" s="1290"/>
      <c r="O1126" s="1290"/>
      <c r="P1126" s="1290"/>
    </row>
    <row r="1127" spans="1:16" s="1335" customFormat="1">
      <c r="A1127" s="1334"/>
      <c r="B1127" s="1290"/>
      <c r="C1127" s="1290"/>
      <c r="G1127" s="1290"/>
      <c r="H1127" s="1290"/>
      <c r="I1127" s="1290"/>
      <c r="J1127" s="1290"/>
      <c r="K1127" s="1290"/>
      <c r="L1127" s="1290"/>
      <c r="M1127" s="1290"/>
      <c r="N1127" s="1290"/>
      <c r="O1127" s="1290"/>
      <c r="P1127" s="1290"/>
    </row>
    <row r="1128" spans="1:16" s="1335" customFormat="1">
      <c r="A1128" s="1334"/>
      <c r="B1128" s="1290"/>
      <c r="C1128" s="1290"/>
      <c r="G1128" s="1290"/>
      <c r="H1128" s="1290"/>
      <c r="I1128" s="1290"/>
      <c r="J1128" s="1290"/>
      <c r="K1128" s="1290"/>
      <c r="L1128" s="1290"/>
      <c r="M1128" s="1290"/>
      <c r="N1128" s="1290"/>
      <c r="O1128" s="1290"/>
      <c r="P1128" s="1290"/>
    </row>
    <row r="1129" spans="1:16" s="1335" customFormat="1">
      <c r="A1129" s="1334"/>
      <c r="B1129" s="1290"/>
      <c r="C1129" s="1290"/>
      <c r="G1129" s="1290"/>
      <c r="H1129" s="1290"/>
      <c r="I1129" s="1290"/>
      <c r="J1129" s="1290"/>
      <c r="K1129" s="1290"/>
      <c r="L1129" s="1290"/>
      <c r="M1129" s="1290"/>
      <c r="N1129" s="1290"/>
      <c r="O1129" s="1290"/>
      <c r="P1129" s="1290"/>
    </row>
    <row r="1130" spans="1:16" s="1335" customFormat="1">
      <c r="A1130" s="1334"/>
      <c r="B1130" s="1290"/>
      <c r="C1130" s="1290"/>
      <c r="G1130" s="1290"/>
      <c r="H1130" s="1290"/>
      <c r="I1130" s="1290"/>
      <c r="J1130" s="1290"/>
      <c r="K1130" s="1290"/>
      <c r="L1130" s="1290"/>
      <c r="M1130" s="1290"/>
      <c r="N1130" s="1290"/>
      <c r="O1130" s="1290"/>
      <c r="P1130" s="1290"/>
    </row>
    <row r="1131" spans="1:16" s="1335" customFormat="1">
      <c r="A1131" s="1334"/>
      <c r="B1131" s="1290"/>
      <c r="C1131" s="1290"/>
      <c r="G1131" s="1290"/>
      <c r="H1131" s="1290"/>
      <c r="I1131" s="1290"/>
      <c r="J1131" s="1290"/>
      <c r="K1131" s="1290"/>
      <c r="L1131" s="1290"/>
      <c r="M1131" s="1290"/>
      <c r="N1131" s="1290"/>
      <c r="O1131" s="1290"/>
      <c r="P1131" s="1290"/>
    </row>
    <row r="1132" spans="1:16" s="1335" customFormat="1">
      <c r="A1132" s="1334"/>
      <c r="B1132" s="1290"/>
      <c r="C1132" s="1290"/>
      <c r="G1132" s="1290"/>
      <c r="H1132" s="1290"/>
      <c r="I1132" s="1290"/>
      <c r="J1132" s="1290"/>
      <c r="K1132" s="1290"/>
      <c r="L1132" s="1290"/>
      <c r="M1132" s="1290"/>
      <c r="N1132" s="1290"/>
      <c r="O1132" s="1290"/>
      <c r="P1132" s="1290"/>
    </row>
    <row r="1133" spans="1:16" s="1335" customFormat="1">
      <c r="A1133" s="1334"/>
      <c r="B1133" s="1290"/>
      <c r="C1133" s="1290"/>
      <c r="G1133" s="1290"/>
      <c r="H1133" s="1290"/>
      <c r="I1133" s="1290"/>
      <c r="J1133" s="1290"/>
      <c r="K1133" s="1290"/>
      <c r="L1133" s="1290"/>
      <c r="M1133" s="1290"/>
      <c r="N1133" s="1290"/>
      <c r="O1133" s="1290"/>
      <c r="P1133" s="1290"/>
    </row>
    <row r="1134" spans="1:16" s="1335" customFormat="1">
      <c r="A1134" s="1334"/>
      <c r="B1134" s="1290"/>
      <c r="C1134" s="1290"/>
      <c r="G1134" s="1290"/>
      <c r="H1134" s="1290"/>
      <c r="I1134" s="1290"/>
      <c r="J1134" s="1290"/>
      <c r="K1134" s="1290"/>
      <c r="L1134" s="1290"/>
      <c r="M1134" s="1290"/>
      <c r="N1134" s="1290"/>
      <c r="O1134" s="1290"/>
      <c r="P1134" s="1290"/>
    </row>
    <row r="1135" spans="1:16" s="1335" customFormat="1">
      <c r="A1135" s="1334"/>
      <c r="B1135" s="1290"/>
      <c r="C1135" s="1290"/>
      <c r="G1135" s="1290"/>
      <c r="H1135" s="1290"/>
      <c r="I1135" s="1290"/>
      <c r="J1135" s="1290"/>
      <c r="K1135" s="1290"/>
      <c r="L1135" s="1290"/>
      <c r="M1135" s="1290"/>
      <c r="N1135" s="1290"/>
      <c r="O1135" s="1290"/>
      <c r="P1135" s="1290"/>
    </row>
    <row r="1136" spans="1:16" s="1335" customFormat="1">
      <c r="A1136" s="1334"/>
      <c r="B1136" s="1290"/>
      <c r="C1136" s="1290"/>
      <c r="G1136" s="1290"/>
      <c r="H1136" s="1290"/>
      <c r="I1136" s="1290"/>
      <c r="J1136" s="1290"/>
      <c r="K1136" s="1290"/>
      <c r="L1136" s="1290"/>
      <c r="M1136" s="1290"/>
      <c r="N1136" s="1290"/>
      <c r="O1136" s="1290"/>
      <c r="P1136" s="1290"/>
    </row>
    <row r="1137" spans="1:16" s="1335" customFormat="1">
      <c r="A1137" s="1334"/>
      <c r="B1137" s="1290"/>
      <c r="C1137" s="1290"/>
      <c r="G1137" s="1290"/>
      <c r="H1137" s="1290"/>
      <c r="I1137" s="1290"/>
      <c r="J1137" s="1290"/>
      <c r="K1137" s="1290"/>
      <c r="L1137" s="1290"/>
      <c r="M1137" s="1290"/>
      <c r="N1137" s="1290"/>
      <c r="O1137" s="1290"/>
      <c r="P1137" s="1290"/>
    </row>
    <row r="1138" spans="1:16" s="1335" customFormat="1">
      <c r="A1138" s="1334"/>
      <c r="B1138" s="1290"/>
      <c r="C1138" s="1290"/>
      <c r="G1138" s="1290"/>
      <c r="H1138" s="1290"/>
      <c r="I1138" s="1290"/>
      <c r="J1138" s="1290"/>
      <c r="K1138" s="1290"/>
      <c r="L1138" s="1290"/>
      <c r="M1138" s="1290"/>
      <c r="N1138" s="1290"/>
      <c r="O1138" s="1290"/>
      <c r="P1138" s="1290"/>
    </row>
    <row r="1139" spans="1:16" s="1335" customFormat="1">
      <c r="A1139" s="1334"/>
      <c r="B1139" s="1290"/>
      <c r="C1139" s="1290"/>
      <c r="G1139" s="1290"/>
      <c r="H1139" s="1290"/>
      <c r="I1139" s="1290"/>
      <c r="J1139" s="1290"/>
      <c r="K1139" s="1290"/>
      <c r="L1139" s="1290"/>
      <c r="M1139" s="1290"/>
      <c r="N1139" s="1290"/>
      <c r="O1139" s="1290"/>
      <c r="P1139" s="1290"/>
    </row>
    <row r="1140" spans="1:16" s="1335" customFormat="1">
      <c r="A1140" s="1334"/>
      <c r="B1140" s="1290"/>
      <c r="C1140" s="1290"/>
      <c r="G1140" s="1290"/>
      <c r="H1140" s="1290"/>
      <c r="I1140" s="1290"/>
      <c r="J1140" s="1290"/>
      <c r="K1140" s="1290"/>
      <c r="L1140" s="1290"/>
      <c r="M1140" s="1290"/>
      <c r="N1140" s="1290"/>
      <c r="O1140" s="1290"/>
      <c r="P1140" s="1290"/>
    </row>
    <row r="1141" spans="1:16" s="1335" customFormat="1">
      <c r="A1141" s="1334"/>
      <c r="B1141" s="1290"/>
      <c r="C1141" s="1290"/>
      <c r="G1141" s="1290"/>
      <c r="H1141" s="1290"/>
      <c r="I1141" s="1290"/>
      <c r="J1141" s="1290"/>
      <c r="K1141" s="1290"/>
      <c r="L1141" s="1290"/>
      <c r="M1141" s="1290"/>
      <c r="N1141" s="1290"/>
      <c r="O1141" s="1290"/>
      <c r="P1141" s="1290"/>
    </row>
    <row r="1142" spans="1:16" s="1335" customFormat="1">
      <c r="A1142" s="1334"/>
      <c r="B1142" s="1290"/>
      <c r="C1142" s="1290"/>
      <c r="G1142" s="1290"/>
      <c r="H1142" s="1290"/>
      <c r="I1142" s="1290"/>
      <c r="J1142" s="1290"/>
      <c r="K1142" s="1290"/>
      <c r="L1142" s="1290"/>
      <c r="M1142" s="1290"/>
      <c r="N1142" s="1290"/>
      <c r="O1142" s="1290"/>
      <c r="P1142" s="1290"/>
    </row>
    <row r="1143" spans="1:16" s="1335" customFormat="1">
      <c r="A1143" s="1334"/>
      <c r="B1143" s="1290"/>
      <c r="C1143" s="1290"/>
      <c r="G1143" s="1290"/>
      <c r="H1143" s="1290"/>
      <c r="I1143" s="1290"/>
      <c r="J1143" s="1290"/>
      <c r="K1143" s="1290"/>
      <c r="L1143" s="1290"/>
      <c r="M1143" s="1290"/>
      <c r="N1143" s="1290"/>
      <c r="O1143" s="1290"/>
      <c r="P1143" s="1290"/>
    </row>
    <row r="1144" spans="1:16" s="1335" customFormat="1">
      <c r="A1144" s="1334"/>
      <c r="B1144" s="1290"/>
      <c r="C1144" s="1290"/>
      <c r="G1144" s="1290"/>
      <c r="H1144" s="1290"/>
      <c r="I1144" s="1290"/>
      <c r="J1144" s="1290"/>
      <c r="K1144" s="1290"/>
      <c r="L1144" s="1290"/>
      <c r="M1144" s="1290"/>
      <c r="N1144" s="1290"/>
      <c r="O1144" s="1290"/>
      <c r="P1144" s="1290"/>
    </row>
    <row r="1145" spans="1:16" s="1335" customFormat="1">
      <c r="A1145" s="1334"/>
      <c r="B1145" s="1290"/>
      <c r="C1145" s="1290"/>
      <c r="G1145" s="1290"/>
      <c r="H1145" s="1290"/>
      <c r="I1145" s="1290"/>
      <c r="J1145" s="1290"/>
      <c r="K1145" s="1290"/>
      <c r="L1145" s="1290"/>
      <c r="M1145" s="1290"/>
      <c r="N1145" s="1290"/>
      <c r="O1145" s="1290"/>
      <c r="P1145" s="1290"/>
    </row>
    <row r="1146" spans="1:16" s="1335" customFormat="1">
      <c r="A1146" s="1334"/>
      <c r="B1146" s="1290"/>
      <c r="C1146" s="1290"/>
      <c r="G1146" s="1290"/>
      <c r="H1146" s="1290"/>
      <c r="I1146" s="1290"/>
      <c r="J1146" s="1290"/>
      <c r="K1146" s="1290"/>
      <c r="L1146" s="1290"/>
      <c r="M1146" s="1290"/>
      <c r="N1146" s="1290"/>
      <c r="O1146" s="1290"/>
      <c r="P1146" s="1290"/>
    </row>
    <row r="1147" spans="1:16" s="1335" customFormat="1">
      <c r="A1147" s="1334"/>
      <c r="B1147" s="1290"/>
      <c r="C1147" s="1290"/>
      <c r="G1147" s="1290"/>
      <c r="H1147" s="1290"/>
      <c r="I1147" s="1290"/>
      <c r="J1147" s="1290"/>
      <c r="K1147" s="1290"/>
      <c r="L1147" s="1290"/>
      <c r="M1147" s="1290"/>
      <c r="N1147" s="1290"/>
      <c r="O1147" s="1290"/>
      <c r="P1147" s="1290"/>
    </row>
    <row r="1148" spans="1:16" s="1335" customFormat="1">
      <c r="A1148" s="1334"/>
      <c r="B1148" s="1290"/>
      <c r="C1148" s="1290"/>
      <c r="G1148" s="1290"/>
      <c r="H1148" s="1290"/>
      <c r="I1148" s="1290"/>
      <c r="J1148" s="1290"/>
      <c r="K1148" s="1290"/>
      <c r="L1148" s="1290"/>
      <c r="M1148" s="1290"/>
      <c r="N1148" s="1290"/>
      <c r="O1148" s="1290"/>
      <c r="P1148" s="1290"/>
    </row>
    <row r="1149" spans="1:16" s="1335" customFormat="1">
      <c r="A1149" s="1334"/>
      <c r="B1149" s="1290"/>
      <c r="C1149" s="1290"/>
      <c r="G1149" s="1290"/>
      <c r="H1149" s="1290"/>
      <c r="I1149" s="1290"/>
      <c r="J1149" s="1290"/>
      <c r="K1149" s="1290"/>
      <c r="L1149" s="1290"/>
      <c r="M1149" s="1290"/>
      <c r="N1149" s="1290"/>
      <c r="O1149" s="1290"/>
      <c r="P1149" s="1290"/>
    </row>
    <row r="1150" spans="1:16" s="1335" customFormat="1">
      <c r="A1150" s="1334"/>
      <c r="B1150" s="1290"/>
      <c r="C1150" s="1290"/>
      <c r="G1150" s="1290"/>
      <c r="H1150" s="1290"/>
      <c r="I1150" s="1290"/>
      <c r="J1150" s="1290"/>
      <c r="K1150" s="1290"/>
      <c r="L1150" s="1290"/>
      <c r="M1150" s="1290"/>
      <c r="N1150" s="1290"/>
      <c r="O1150" s="1290"/>
      <c r="P1150" s="1290"/>
    </row>
    <row r="1151" spans="1:16" s="1335" customFormat="1">
      <c r="A1151" s="1334"/>
      <c r="B1151" s="1290"/>
      <c r="C1151" s="1290"/>
      <c r="G1151" s="1290"/>
      <c r="H1151" s="1290"/>
      <c r="I1151" s="1290"/>
      <c r="J1151" s="1290"/>
      <c r="K1151" s="1290"/>
      <c r="L1151" s="1290"/>
      <c r="M1151" s="1290"/>
      <c r="N1151" s="1290"/>
      <c r="O1151" s="1290"/>
      <c r="P1151" s="1290"/>
    </row>
    <row r="1152" spans="1:16" s="1335" customFormat="1">
      <c r="A1152" s="1334"/>
      <c r="B1152" s="1290"/>
      <c r="C1152" s="1290"/>
      <c r="G1152" s="1290"/>
      <c r="H1152" s="1290"/>
      <c r="I1152" s="1290"/>
      <c r="J1152" s="1290"/>
      <c r="K1152" s="1290"/>
      <c r="L1152" s="1290"/>
      <c r="M1152" s="1290"/>
      <c r="N1152" s="1290"/>
      <c r="O1152" s="1290"/>
      <c r="P1152" s="1290"/>
    </row>
    <row r="1153" spans="1:16" s="1335" customFormat="1">
      <c r="A1153" s="1334"/>
      <c r="B1153" s="1290"/>
      <c r="C1153" s="1290"/>
      <c r="G1153" s="1290"/>
      <c r="H1153" s="1290"/>
      <c r="I1153" s="1290"/>
      <c r="J1153" s="1290"/>
      <c r="K1153" s="1290"/>
      <c r="L1153" s="1290"/>
      <c r="M1153" s="1290"/>
      <c r="N1153" s="1290"/>
      <c r="O1153" s="1290"/>
      <c r="P1153" s="1290"/>
    </row>
    <row r="1154" spans="1:16" s="1335" customFormat="1">
      <c r="A1154" s="1334"/>
      <c r="B1154" s="1290"/>
      <c r="C1154" s="1290"/>
      <c r="G1154" s="1290"/>
      <c r="H1154" s="1290"/>
      <c r="I1154" s="1290"/>
      <c r="J1154" s="1290"/>
      <c r="K1154" s="1290"/>
      <c r="L1154" s="1290"/>
      <c r="M1154" s="1290"/>
      <c r="N1154" s="1290"/>
      <c r="O1154" s="1290"/>
      <c r="P1154" s="1290"/>
    </row>
    <row r="1155" spans="1:16" s="1335" customFormat="1">
      <c r="A1155" s="1334"/>
      <c r="B1155" s="1290"/>
      <c r="C1155" s="1290"/>
      <c r="G1155" s="1290"/>
      <c r="H1155" s="1290"/>
      <c r="I1155" s="1290"/>
      <c r="J1155" s="1290"/>
      <c r="K1155" s="1290"/>
      <c r="L1155" s="1290"/>
      <c r="M1155" s="1290"/>
      <c r="N1155" s="1290"/>
      <c r="O1155" s="1290"/>
      <c r="P1155" s="1290"/>
    </row>
    <row r="1156" spans="1:16" s="1335" customFormat="1">
      <c r="A1156" s="1334"/>
      <c r="B1156" s="1290"/>
      <c r="C1156" s="1290"/>
      <c r="G1156" s="1290"/>
      <c r="H1156" s="1290"/>
      <c r="I1156" s="1290"/>
      <c r="J1156" s="1290"/>
      <c r="K1156" s="1290"/>
      <c r="L1156" s="1290"/>
      <c r="M1156" s="1290"/>
      <c r="N1156" s="1290"/>
      <c r="O1156" s="1290"/>
      <c r="P1156" s="1290"/>
    </row>
    <row r="1157" spans="1:16" s="1335" customFormat="1">
      <c r="A1157" s="1334"/>
      <c r="B1157" s="1290"/>
      <c r="C1157" s="1290"/>
      <c r="G1157" s="1290"/>
      <c r="H1157" s="1290"/>
      <c r="I1157" s="1290"/>
      <c r="J1157" s="1290"/>
      <c r="K1157" s="1290"/>
      <c r="L1157" s="1290"/>
      <c r="M1157" s="1290"/>
      <c r="N1157" s="1290"/>
      <c r="O1157" s="1290"/>
      <c r="P1157" s="1290"/>
    </row>
    <row r="1158" spans="1:16" s="1335" customFormat="1">
      <c r="A1158" s="1334"/>
      <c r="B1158" s="1290"/>
      <c r="C1158" s="1290"/>
      <c r="G1158" s="1290"/>
      <c r="H1158" s="1290"/>
      <c r="I1158" s="1290"/>
      <c r="J1158" s="1290"/>
      <c r="K1158" s="1290"/>
      <c r="L1158" s="1290"/>
      <c r="M1158" s="1290"/>
      <c r="N1158" s="1290"/>
      <c r="O1158" s="1290"/>
      <c r="P1158" s="1290"/>
    </row>
    <row r="1159" spans="1:16" s="1335" customFormat="1">
      <c r="A1159" s="1334"/>
      <c r="B1159" s="1290"/>
      <c r="C1159" s="1290"/>
      <c r="G1159" s="1290"/>
      <c r="H1159" s="1290"/>
      <c r="I1159" s="1290"/>
      <c r="J1159" s="1290"/>
      <c r="K1159" s="1290"/>
      <c r="L1159" s="1290"/>
      <c r="M1159" s="1290"/>
      <c r="N1159" s="1290"/>
      <c r="O1159" s="1290"/>
      <c r="P1159" s="1290"/>
    </row>
    <row r="1160" spans="1:16" s="1335" customFormat="1">
      <c r="A1160" s="1334"/>
      <c r="B1160" s="1290"/>
      <c r="C1160" s="1290"/>
      <c r="G1160" s="1290"/>
      <c r="H1160" s="1290"/>
      <c r="I1160" s="1290"/>
      <c r="J1160" s="1290"/>
      <c r="K1160" s="1290"/>
      <c r="L1160" s="1290"/>
      <c r="M1160" s="1290"/>
      <c r="N1160" s="1290"/>
      <c r="O1160" s="1290"/>
      <c r="P1160" s="1290"/>
    </row>
    <row r="1161" spans="1:16" s="1335" customFormat="1">
      <c r="A1161" s="1334"/>
      <c r="B1161" s="1290"/>
      <c r="C1161" s="1290"/>
      <c r="G1161" s="1290"/>
      <c r="H1161" s="1290"/>
      <c r="I1161" s="1290"/>
      <c r="J1161" s="1290"/>
      <c r="K1161" s="1290"/>
      <c r="L1161" s="1290"/>
      <c r="M1161" s="1290"/>
      <c r="N1161" s="1290"/>
      <c r="O1161" s="1290"/>
      <c r="P1161" s="1290"/>
    </row>
    <row r="1162" spans="1:16" s="1335" customFormat="1">
      <c r="A1162" s="1334"/>
      <c r="B1162" s="1290"/>
      <c r="C1162" s="1290"/>
      <c r="G1162" s="1290"/>
      <c r="H1162" s="1290"/>
      <c r="I1162" s="1290"/>
      <c r="J1162" s="1290"/>
      <c r="K1162" s="1290"/>
      <c r="L1162" s="1290"/>
      <c r="M1162" s="1290"/>
      <c r="N1162" s="1290"/>
      <c r="O1162" s="1290"/>
      <c r="P1162" s="1290"/>
    </row>
    <row r="1163" spans="1:16" s="1335" customFormat="1">
      <c r="A1163" s="1334"/>
      <c r="B1163" s="1290"/>
      <c r="C1163" s="1290"/>
      <c r="G1163" s="1290"/>
      <c r="H1163" s="1290"/>
      <c r="I1163" s="1290"/>
      <c r="J1163" s="1290"/>
      <c r="K1163" s="1290"/>
      <c r="L1163" s="1290"/>
      <c r="M1163" s="1290"/>
      <c r="N1163" s="1290"/>
      <c r="O1163" s="1290"/>
      <c r="P1163" s="1290"/>
    </row>
    <row r="1164" spans="1:16" s="1335" customFormat="1">
      <c r="A1164" s="1334"/>
      <c r="B1164" s="1290"/>
      <c r="C1164" s="1290"/>
      <c r="G1164" s="1290"/>
      <c r="H1164" s="1290"/>
      <c r="I1164" s="1290"/>
      <c r="J1164" s="1290"/>
      <c r="K1164" s="1290"/>
      <c r="L1164" s="1290"/>
      <c r="M1164" s="1290"/>
      <c r="N1164" s="1290"/>
      <c r="O1164" s="1290"/>
      <c r="P1164" s="1290"/>
    </row>
    <row r="1165" spans="1:16" s="1335" customFormat="1">
      <c r="A1165" s="1334"/>
      <c r="B1165" s="1290"/>
      <c r="C1165" s="1290"/>
      <c r="G1165" s="1290"/>
      <c r="H1165" s="1290"/>
      <c r="I1165" s="1290"/>
      <c r="J1165" s="1290"/>
      <c r="K1165" s="1290"/>
      <c r="L1165" s="1290"/>
      <c r="M1165" s="1290"/>
      <c r="N1165" s="1290"/>
      <c r="O1165" s="1290"/>
      <c r="P1165" s="1290"/>
    </row>
    <row r="1166" spans="1:16" s="1335" customFormat="1">
      <c r="A1166" s="1334"/>
      <c r="B1166" s="1290"/>
      <c r="C1166" s="1290"/>
      <c r="G1166" s="1290"/>
      <c r="H1166" s="1290"/>
      <c r="I1166" s="1290"/>
      <c r="J1166" s="1290"/>
      <c r="K1166" s="1290"/>
      <c r="L1166" s="1290"/>
      <c r="M1166" s="1290"/>
      <c r="N1166" s="1290"/>
      <c r="O1166" s="1290"/>
      <c r="P1166" s="1290"/>
    </row>
    <row r="1167" spans="1:16" s="1335" customFormat="1">
      <c r="A1167" s="1334"/>
      <c r="B1167" s="1290"/>
      <c r="C1167" s="1290"/>
      <c r="G1167" s="1290"/>
      <c r="H1167" s="1290"/>
      <c r="I1167" s="1290"/>
      <c r="J1167" s="1290"/>
      <c r="K1167" s="1290"/>
      <c r="L1167" s="1290"/>
      <c r="M1167" s="1290"/>
      <c r="N1167" s="1290"/>
      <c r="O1167" s="1290"/>
      <c r="P1167" s="1290"/>
    </row>
    <row r="1168" spans="1:16" s="1335" customFormat="1">
      <c r="A1168" s="1334"/>
      <c r="B1168" s="1290"/>
      <c r="C1168" s="1290"/>
      <c r="G1168" s="1290"/>
      <c r="H1168" s="1290"/>
      <c r="I1168" s="1290"/>
      <c r="J1168" s="1290"/>
      <c r="K1168" s="1290"/>
      <c r="L1168" s="1290"/>
      <c r="M1168" s="1290"/>
      <c r="N1168" s="1290"/>
      <c r="O1168" s="1290"/>
      <c r="P1168" s="1290"/>
    </row>
    <row r="1169" spans="1:16" s="1335" customFormat="1">
      <c r="A1169" s="1334"/>
      <c r="B1169" s="1290"/>
      <c r="C1169" s="1290"/>
      <c r="G1169" s="1290"/>
      <c r="H1169" s="1290"/>
      <c r="I1169" s="1290"/>
      <c r="J1169" s="1290"/>
      <c r="K1169" s="1290"/>
      <c r="L1169" s="1290"/>
      <c r="M1169" s="1290"/>
      <c r="N1169" s="1290"/>
      <c r="O1169" s="1290"/>
      <c r="P1169" s="1290"/>
    </row>
    <row r="1170" spans="1:16" s="1335" customFormat="1">
      <c r="A1170" s="1334"/>
      <c r="B1170" s="1290"/>
      <c r="C1170" s="1290"/>
      <c r="G1170" s="1290"/>
      <c r="H1170" s="1290"/>
      <c r="I1170" s="1290"/>
      <c r="J1170" s="1290"/>
      <c r="K1170" s="1290"/>
      <c r="L1170" s="1290"/>
      <c r="M1170" s="1290"/>
      <c r="N1170" s="1290"/>
      <c r="O1170" s="1290"/>
      <c r="P1170" s="1290"/>
    </row>
    <row r="1171" spans="1:16" s="1335" customFormat="1">
      <c r="A1171" s="1334"/>
      <c r="B1171" s="1290"/>
      <c r="C1171" s="1290"/>
      <c r="G1171" s="1290"/>
      <c r="H1171" s="1290"/>
      <c r="I1171" s="1290"/>
      <c r="J1171" s="1290"/>
      <c r="K1171" s="1290"/>
      <c r="L1171" s="1290"/>
      <c r="M1171" s="1290"/>
      <c r="N1171" s="1290"/>
      <c r="O1171" s="1290"/>
      <c r="P1171" s="1290"/>
    </row>
    <row r="1172" spans="1:16" s="1335" customFormat="1">
      <c r="A1172" s="1334"/>
      <c r="B1172" s="1290"/>
      <c r="C1172" s="1290"/>
      <c r="G1172" s="1290"/>
      <c r="H1172" s="1290"/>
      <c r="I1172" s="1290"/>
      <c r="J1172" s="1290"/>
      <c r="K1172" s="1290"/>
      <c r="L1172" s="1290"/>
      <c r="M1172" s="1290"/>
      <c r="N1172" s="1290"/>
      <c r="O1172" s="1290"/>
      <c r="P1172" s="1290"/>
    </row>
    <row r="1173" spans="1:16" s="1335" customFormat="1">
      <c r="A1173" s="1334"/>
      <c r="B1173" s="1290"/>
      <c r="C1173" s="1290"/>
      <c r="G1173" s="1290"/>
      <c r="H1173" s="1290"/>
      <c r="I1173" s="1290"/>
      <c r="J1173" s="1290"/>
      <c r="K1173" s="1290"/>
      <c r="L1173" s="1290"/>
      <c r="M1173" s="1290"/>
      <c r="N1173" s="1290"/>
      <c r="O1173" s="1290"/>
      <c r="P1173" s="1290"/>
    </row>
    <row r="1174" spans="1:16" s="1335" customFormat="1">
      <c r="A1174" s="1334"/>
      <c r="B1174" s="1290"/>
      <c r="C1174" s="1290"/>
      <c r="G1174" s="1290"/>
      <c r="H1174" s="1290"/>
      <c r="I1174" s="1290"/>
      <c r="J1174" s="1290"/>
      <c r="K1174" s="1290"/>
      <c r="L1174" s="1290"/>
      <c r="M1174" s="1290"/>
      <c r="N1174" s="1290"/>
      <c r="O1174" s="1290"/>
      <c r="P1174" s="1290"/>
    </row>
    <row r="1175" spans="1:16" s="1335" customFormat="1">
      <c r="A1175" s="1334"/>
      <c r="B1175" s="1290"/>
      <c r="C1175" s="1290"/>
      <c r="G1175" s="1290"/>
      <c r="H1175" s="1290"/>
      <c r="I1175" s="1290"/>
      <c r="J1175" s="1290"/>
      <c r="K1175" s="1290"/>
      <c r="L1175" s="1290"/>
      <c r="M1175" s="1290"/>
      <c r="N1175" s="1290"/>
      <c r="O1175" s="1290"/>
      <c r="P1175" s="1290"/>
    </row>
    <row r="1176" spans="1:16" s="1335" customFormat="1">
      <c r="A1176" s="1334"/>
      <c r="B1176" s="1290"/>
      <c r="C1176" s="1290"/>
      <c r="G1176" s="1290"/>
      <c r="H1176" s="1290"/>
      <c r="I1176" s="1290"/>
      <c r="J1176" s="1290"/>
      <c r="K1176" s="1290"/>
      <c r="L1176" s="1290"/>
      <c r="M1176" s="1290"/>
      <c r="N1176" s="1290"/>
      <c r="O1176" s="1290"/>
      <c r="P1176" s="1290"/>
    </row>
    <row r="1177" spans="1:16" s="1335" customFormat="1">
      <c r="A1177" s="1334"/>
      <c r="B1177" s="1290"/>
      <c r="C1177" s="1290"/>
      <c r="G1177" s="1290"/>
      <c r="H1177" s="1290"/>
      <c r="I1177" s="1290"/>
      <c r="J1177" s="1290"/>
      <c r="K1177" s="1290"/>
      <c r="L1177" s="1290"/>
      <c r="M1177" s="1290"/>
      <c r="N1177" s="1290"/>
      <c r="O1177" s="1290"/>
      <c r="P1177" s="1290"/>
    </row>
    <row r="1178" spans="1:16" s="1335" customFormat="1">
      <c r="A1178" s="1334"/>
      <c r="B1178" s="1290"/>
      <c r="C1178" s="1290"/>
      <c r="G1178" s="1290"/>
      <c r="H1178" s="1290"/>
      <c r="I1178" s="1290"/>
      <c r="J1178" s="1290"/>
      <c r="K1178" s="1290"/>
      <c r="L1178" s="1290"/>
      <c r="M1178" s="1290"/>
      <c r="N1178" s="1290"/>
      <c r="O1178" s="1290"/>
      <c r="P1178" s="1290"/>
    </row>
    <row r="1179" spans="1:16" s="1335" customFormat="1">
      <c r="A1179" s="1334"/>
      <c r="B1179" s="1290"/>
      <c r="C1179" s="1290"/>
      <c r="G1179" s="1290"/>
      <c r="H1179" s="1290"/>
      <c r="I1179" s="1290"/>
      <c r="J1179" s="1290"/>
      <c r="K1179" s="1290"/>
      <c r="L1179" s="1290"/>
      <c r="M1179" s="1290"/>
      <c r="N1179" s="1290"/>
      <c r="O1179" s="1290"/>
      <c r="P1179" s="1290"/>
    </row>
    <row r="1180" spans="1:16" s="1335" customFormat="1">
      <c r="A1180" s="1334"/>
      <c r="B1180" s="1290"/>
      <c r="C1180" s="1290"/>
      <c r="G1180" s="1290"/>
      <c r="H1180" s="1290"/>
      <c r="I1180" s="1290"/>
      <c r="J1180" s="1290"/>
      <c r="K1180" s="1290"/>
      <c r="L1180" s="1290"/>
      <c r="M1180" s="1290"/>
      <c r="N1180" s="1290"/>
      <c r="O1180" s="1290"/>
      <c r="P1180" s="1290"/>
    </row>
    <row r="1181" spans="1:16" s="1335" customFormat="1">
      <c r="A1181" s="1334"/>
      <c r="B1181" s="1290"/>
      <c r="C1181" s="1290"/>
      <c r="G1181" s="1290"/>
      <c r="H1181" s="1290"/>
      <c r="I1181" s="1290"/>
      <c r="J1181" s="1290"/>
      <c r="K1181" s="1290"/>
      <c r="L1181" s="1290"/>
      <c r="M1181" s="1290"/>
      <c r="N1181" s="1290"/>
      <c r="O1181" s="1290"/>
      <c r="P1181" s="1290"/>
    </row>
    <row r="1182" spans="1:16" s="1335" customFormat="1">
      <c r="A1182" s="1334"/>
      <c r="B1182" s="1290"/>
      <c r="C1182" s="1290"/>
      <c r="G1182" s="1290"/>
      <c r="H1182" s="1290"/>
      <c r="I1182" s="1290"/>
      <c r="J1182" s="1290"/>
      <c r="K1182" s="1290"/>
      <c r="L1182" s="1290"/>
      <c r="M1182" s="1290"/>
      <c r="N1182" s="1290"/>
      <c r="O1182" s="1290"/>
      <c r="P1182" s="1290"/>
    </row>
    <row r="1183" spans="1:16" s="1335" customFormat="1">
      <c r="A1183" s="1334"/>
      <c r="B1183" s="1290"/>
      <c r="C1183" s="1290"/>
      <c r="G1183" s="1290"/>
      <c r="H1183" s="1290"/>
      <c r="I1183" s="1290"/>
      <c r="J1183" s="1290"/>
      <c r="K1183" s="1290"/>
      <c r="L1183" s="1290"/>
      <c r="M1183" s="1290"/>
      <c r="N1183" s="1290"/>
      <c r="O1183" s="1290"/>
      <c r="P1183" s="1290"/>
    </row>
    <row r="1184" spans="1:16" s="1335" customFormat="1">
      <c r="A1184" s="1334"/>
      <c r="B1184" s="1290"/>
      <c r="C1184" s="1290"/>
      <c r="G1184" s="1290"/>
      <c r="H1184" s="1290"/>
      <c r="I1184" s="1290"/>
      <c r="J1184" s="1290"/>
      <c r="K1184" s="1290"/>
      <c r="L1184" s="1290"/>
      <c r="M1184" s="1290"/>
      <c r="N1184" s="1290"/>
      <c r="O1184" s="1290"/>
      <c r="P1184" s="1290"/>
    </row>
    <row r="1185" spans="1:16" s="1335" customFormat="1">
      <c r="A1185" s="1334"/>
      <c r="B1185" s="1290"/>
      <c r="C1185" s="1290"/>
      <c r="G1185" s="1290"/>
      <c r="H1185" s="1290"/>
      <c r="I1185" s="1290"/>
      <c r="J1185" s="1290"/>
      <c r="K1185" s="1290"/>
      <c r="L1185" s="1290"/>
      <c r="M1185" s="1290"/>
      <c r="N1185" s="1290"/>
      <c r="O1185" s="1290"/>
      <c r="P1185" s="1290"/>
    </row>
    <row r="1186" spans="1:16" s="1335" customFormat="1">
      <c r="A1186" s="1334"/>
      <c r="B1186" s="1290"/>
      <c r="C1186" s="1290"/>
      <c r="G1186" s="1290"/>
      <c r="H1186" s="1290"/>
      <c r="I1186" s="1290"/>
      <c r="J1186" s="1290"/>
      <c r="K1186" s="1290"/>
      <c r="L1186" s="1290"/>
      <c r="M1186" s="1290"/>
      <c r="N1186" s="1290"/>
      <c r="O1186" s="1290"/>
      <c r="P1186" s="1290"/>
    </row>
    <row r="1187" spans="1:16" s="1335" customFormat="1">
      <c r="A1187" s="1334"/>
      <c r="B1187" s="1290"/>
      <c r="C1187" s="1290"/>
      <c r="G1187" s="1290"/>
      <c r="H1187" s="1290"/>
      <c r="I1187" s="1290"/>
      <c r="J1187" s="1290"/>
      <c r="K1187" s="1290"/>
      <c r="L1187" s="1290"/>
      <c r="M1187" s="1290"/>
      <c r="N1187" s="1290"/>
      <c r="O1187" s="1290"/>
      <c r="P1187" s="1290"/>
    </row>
    <row r="1188" spans="1:16" s="1335" customFormat="1">
      <c r="A1188" s="1334"/>
      <c r="B1188" s="1290"/>
      <c r="C1188" s="1290"/>
      <c r="G1188" s="1290"/>
      <c r="H1188" s="1290"/>
      <c r="I1188" s="1290"/>
      <c r="J1188" s="1290"/>
      <c r="K1188" s="1290"/>
      <c r="L1188" s="1290"/>
      <c r="M1188" s="1290"/>
      <c r="N1188" s="1290"/>
      <c r="O1188" s="1290"/>
      <c r="P1188" s="1290"/>
    </row>
    <row r="1189" spans="1:16" s="1335" customFormat="1">
      <c r="A1189" s="1334"/>
      <c r="B1189" s="1290"/>
      <c r="C1189" s="1290"/>
      <c r="G1189" s="1290"/>
      <c r="H1189" s="1290"/>
      <c r="I1189" s="1290"/>
      <c r="J1189" s="1290"/>
      <c r="K1189" s="1290"/>
      <c r="L1189" s="1290"/>
      <c r="M1189" s="1290"/>
      <c r="N1189" s="1290"/>
      <c r="O1189" s="1290"/>
      <c r="P1189" s="1290"/>
    </row>
    <row r="1190" spans="1:16" s="1335" customFormat="1">
      <c r="A1190" s="1334"/>
      <c r="B1190" s="1290"/>
      <c r="C1190" s="1290"/>
      <c r="G1190" s="1290"/>
      <c r="H1190" s="1290"/>
      <c r="I1190" s="1290"/>
      <c r="J1190" s="1290"/>
      <c r="K1190" s="1290"/>
      <c r="L1190" s="1290"/>
      <c r="M1190" s="1290"/>
      <c r="N1190" s="1290"/>
      <c r="O1190" s="1290"/>
      <c r="P1190" s="1290"/>
    </row>
    <row r="1191" spans="1:16" s="1335" customFormat="1">
      <c r="A1191" s="1334"/>
      <c r="B1191" s="1290"/>
      <c r="C1191" s="1290"/>
      <c r="G1191" s="1290"/>
      <c r="H1191" s="1290"/>
      <c r="I1191" s="1290"/>
      <c r="J1191" s="1290"/>
      <c r="K1191" s="1290"/>
      <c r="L1191" s="1290"/>
      <c r="M1191" s="1290"/>
      <c r="N1191" s="1290"/>
      <c r="O1191" s="1290"/>
      <c r="P1191" s="1290"/>
    </row>
    <row r="1192" spans="1:16" s="1335" customFormat="1">
      <c r="A1192" s="1334"/>
      <c r="B1192" s="1290"/>
      <c r="C1192" s="1290"/>
      <c r="G1192" s="1290"/>
      <c r="H1192" s="1290"/>
      <c r="I1192" s="1290"/>
      <c r="J1192" s="1290"/>
      <c r="K1192" s="1290"/>
      <c r="L1192" s="1290"/>
      <c r="M1192" s="1290"/>
      <c r="N1192" s="1290"/>
      <c r="O1192" s="1290"/>
      <c r="P1192" s="1290"/>
    </row>
    <row r="1193" spans="1:16" s="1335" customFormat="1">
      <c r="A1193" s="1334"/>
      <c r="B1193" s="1290"/>
      <c r="C1193" s="1290"/>
      <c r="G1193" s="1290"/>
      <c r="H1193" s="1290"/>
      <c r="I1193" s="1290"/>
      <c r="J1193" s="1290"/>
      <c r="K1193" s="1290"/>
      <c r="L1193" s="1290"/>
      <c r="M1193" s="1290"/>
      <c r="N1193" s="1290"/>
      <c r="O1193" s="1290"/>
      <c r="P1193" s="1290"/>
    </row>
    <row r="1194" spans="1:16" s="1335" customFormat="1">
      <c r="A1194" s="1334"/>
      <c r="B1194" s="1290"/>
      <c r="C1194" s="1290"/>
      <c r="G1194" s="1290"/>
      <c r="H1194" s="1290"/>
      <c r="I1194" s="1290"/>
      <c r="J1194" s="1290"/>
      <c r="K1194" s="1290"/>
      <c r="L1194" s="1290"/>
      <c r="M1194" s="1290"/>
      <c r="N1194" s="1290"/>
      <c r="O1194" s="1290"/>
      <c r="P1194" s="1290"/>
    </row>
    <row r="1195" spans="1:16" s="1335" customFormat="1">
      <c r="A1195" s="1334"/>
      <c r="B1195" s="1290"/>
      <c r="C1195" s="1290"/>
      <c r="G1195" s="1290"/>
      <c r="H1195" s="1290"/>
      <c r="I1195" s="1290"/>
      <c r="J1195" s="1290"/>
      <c r="K1195" s="1290"/>
      <c r="L1195" s="1290"/>
      <c r="M1195" s="1290"/>
      <c r="N1195" s="1290"/>
      <c r="O1195" s="1290"/>
      <c r="P1195" s="1290"/>
    </row>
    <row r="1196" spans="1:16" s="1335" customFormat="1">
      <c r="A1196" s="1334"/>
      <c r="B1196" s="1290"/>
      <c r="C1196" s="1290"/>
      <c r="G1196" s="1290"/>
      <c r="H1196" s="1290"/>
      <c r="I1196" s="1290"/>
      <c r="J1196" s="1290"/>
      <c r="K1196" s="1290"/>
      <c r="L1196" s="1290"/>
      <c r="M1196" s="1290"/>
      <c r="N1196" s="1290"/>
      <c r="O1196" s="1290"/>
      <c r="P1196" s="1290"/>
    </row>
    <row r="1197" spans="1:16" s="1335" customFormat="1">
      <c r="A1197" s="1334"/>
      <c r="B1197" s="1290"/>
      <c r="C1197" s="1290"/>
      <c r="G1197" s="1290"/>
      <c r="H1197" s="1290"/>
      <c r="I1197" s="1290"/>
      <c r="J1197" s="1290"/>
      <c r="K1197" s="1290"/>
      <c r="L1197" s="1290"/>
      <c r="M1197" s="1290"/>
      <c r="N1197" s="1290"/>
      <c r="O1197" s="1290"/>
      <c r="P1197" s="1290"/>
    </row>
    <row r="1198" spans="1:16" s="1335" customFormat="1">
      <c r="A1198" s="1334"/>
      <c r="B1198" s="1290"/>
      <c r="C1198" s="1290"/>
      <c r="G1198" s="1290"/>
      <c r="H1198" s="1290"/>
      <c r="I1198" s="1290"/>
      <c r="J1198" s="1290"/>
      <c r="K1198" s="1290"/>
      <c r="L1198" s="1290"/>
      <c r="M1198" s="1290"/>
      <c r="N1198" s="1290"/>
      <c r="O1198" s="1290"/>
      <c r="P1198" s="1290"/>
    </row>
    <row r="1199" spans="1:16" s="1335" customFormat="1">
      <c r="A1199" s="1334"/>
      <c r="B1199" s="1290"/>
      <c r="C1199" s="1290"/>
      <c r="G1199" s="1290"/>
      <c r="H1199" s="1290"/>
      <c r="I1199" s="1290"/>
      <c r="J1199" s="1290"/>
      <c r="K1199" s="1290"/>
      <c r="L1199" s="1290"/>
      <c r="M1199" s="1290"/>
      <c r="N1199" s="1290"/>
      <c r="O1199" s="1290"/>
      <c r="P1199" s="1290"/>
    </row>
    <row r="1200" spans="1:16" s="1335" customFormat="1">
      <c r="A1200" s="1334"/>
      <c r="B1200" s="1290"/>
      <c r="C1200" s="1290"/>
      <c r="G1200" s="1290"/>
      <c r="H1200" s="1290"/>
      <c r="I1200" s="1290"/>
      <c r="J1200" s="1290"/>
      <c r="K1200" s="1290"/>
      <c r="L1200" s="1290"/>
      <c r="M1200" s="1290"/>
      <c r="N1200" s="1290"/>
      <c r="O1200" s="1290"/>
      <c r="P1200" s="1290"/>
    </row>
    <row r="1201" spans="1:16" s="1335" customFormat="1">
      <c r="A1201" s="1334"/>
      <c r="B1201" s="1290"/>
      <c r="C1201" s="1290"/>
      <c r="G1201" s="1290"/>
      <c r="H1201" s="1290"/>
      <c r="I1201" s="1290"/>
      <c r="J1201" s="1290"/>
      <c r="K1201" s="1290"/>
      <c r="L1201" s="1290"/>
      <c r="M1201" s="1290"/>
      <c r="N1201" s="1290"/>
      <c r="O1201" s="1290"/>
      <c r="P1201" s="1290"/>
    </row>
    <row r="1202" spans="1:16" s="1335" customFormat="1">
      <c r="A1202" s="1334"/>
      <c r="B1202" s="1290"/>
      <c r="C1202" s="1290"/>
      <c r="G1202" s="1290"/>
      <c r="H1202" s="1290"/>
      <c r="I1202" s="1290"/>
      <c r="J1202" s="1290"/>
      <c r="K1202" s="1290"/>
      <c r="L1202" s="1290"/>
      <c r="M1202" s="1290"/>
      <c r="N1202" s="1290"/>
      <c r="O1202" s="1290"/>
      <c r="P1202" s="1290"/>
    </row>
    <row r="1203" spans="1:16" s="1335" customFormat="1">
      <c r="A1203" s="1334"/>
      <c r="B1203" s="1290"/>
      <c r="C1203" s="1290"/>
      <c r="G1203" s="1290"/>
      <c r="H1203" s="1290"/>
      <c r="I1203" s="1290"/>
      <c r="J1203" s="1290"/>
      <c r="K1203" s="1290"/>
      <c r="L1203" s="1290"/>
      <c r="M1203" s="1290"/>
      <c r="N1203" s="1290"/>
      <c r="O1203" s="1290"/>
      <c r="P1203" s="1290"/>
    </row>
    <row r="1204" spans="1:16" s="1335" customFormat="1">
      <c r="A1204" s="1334"/>
      <c r="B1204" s="1290"/>
      <c r="C1204" s="1290"/>
      <c r="G1204" s="1290"/>
      <c r="H1204" s="1290"/>
      <c r="I1204" s="1290"/>
      <c r="J1204" s="1290"/>
      <c r="K1204" s="1290"/>
      <c r="L1204" s="1290"/>
      <c r="M1204" s="1290"/>
      <c r="N1204" s="1290"/>
      <c r="O1204" s="1290"/>
      <c r="P1204" s="1290"/>
    </row>
    <row r="1205" spans="1:16" s="1335" customFormat="1">
      <c r="A1205" s="1334"/>
      <c r="B1205" s="1290"/>
      <c r="C1205" s="1290"/>
      <c r="G1205" s="1290"/>
      <c r="H1205" s="1290"/>
      <c r="I1205" s="1290"/>
      <c r="J1205" s="1290"/>
      <c r="K1205" s="1290"/>
      <c r="L1205" s="1290"/>
      <c r="M1205" s="1290"/>
      <c r="N1205" s="1290"/>
      <c r="O1205" s="1290"/>
      <c r="P1205" s="1290"/>
    </row>
    <row r="1206" spans="1:16" s="1335" customFormat="1">
      <c r="A1206" s="1334"/>
      <c r="B1206" s="1290"/>
      <c r="C1206" s="1290"/>
      <c r="G1206" s="1290"/>
      <c r="H1206" s="1290"/>
      <c r="I1206" s="1290"/>
      <c r="J1206" s="1290"/>
      <c r="K1206" s="1290"/>
      <c r="L1206" s="1290"/>
      <c r="M1206" s="1290"/>
      <c r="N1206" s="1290"/>
      <c r="O1206" s="1290"/>
      <c r="P1206" s="1290"/>
    </row>
    <row r="1207" spans="1:16" s="1335" customFormat="1">
      <c r="A1207" s="1334"/>
      <c r="B1207" s="1290"/>
      <c r="C1207" s="1290"/>
      <c r="G1207" s="1290"/>
      <c r="H1207" s="1290"/>
      <c r="I1207" s="1290"/>
      <c r="J1207" s="1290"/>
      <c r="K1207" s="1290"/>
      <c r="L1207" s="1290"/>
      <c r="M1207" s="1290"/>
      <c r="N1207" s="1290"/>
      <c r="O1207" s="1290"/>
      <c r="P1207" s="1290"/>
    </row>
    <row r="1208" spans="1:16" s="1335" customFormat="1">
      <c r="A1208" s="1334"/>
      <c r="B1208" s="1290"/>
      <c r="C1208" s="1290"/>
      <c r="G1208" s="1290"/>
      <c r="H1208" s="1290"/>
      <c r="I1208" s="1290"/>
      <c r="J1208" s="1290"/>
      <c r="K1208" s="1290"/>
      <c r="L1208" s="1290"/>
      <c r="M1208" s="1290"/>
      <c r="N1208" s="1290"/>
      <c r="O1208" s="1290"/>
      <c r="P1208" s="1290"/>
    </row>
    <row r="1209" spans="1:16" s="1335" customFormat="1">
      <c r="A1209" s="1334"/>
      <c r="B1209" s="1290"/>
      <c r="C1209" s="1290"/>
      <c r="G1209" s="1290"/>
      <c r="H1209" s="1290"/>
      <c r="I1209" s="1290"/>
      <c r="J1209" s="1290"/>
      <c r="K1209" s="1290"/>
      <c r="L1209" s="1290"/>
      <c r="M1209" s="1290"/>
      <c r="N1209" s="1290"/>
      <c r="O1209" s="1290"/>
      <c r="P1209" s="1290"/>
    </row>
    <row r="1210" spans="1:16" s="1335" customFormat="1">
      <c r="A1210" s="1334"/>
      <c r="B1210" s="1290"/>
      <c r="C1210" s="1290"/>
      <c r="G1210" s="1290"/>
      <c r="H1210" s="1290"/>
      <c r="I1210" s="1290"/>
      <c r="J1210" s="1290"/>
      <c r="K1210" s="1290"/>
      <c r="L1210" s="1290"/>
      <c r="M1210" s="1290"/>
      <c r="N1210" s="1290"/>
      <c r="O1210" s="1290"/>
      <c r="P1210" s="1290"/>
    </row>
    <row r="1211" spans="1:16" s="1335" customFormat="1">
      <c r="A1211" s="1334"/>
      <c r="B1211" s="1290"/>
      <c r="C1211" s="1290"/>
      <c r="G1211" s="1290"/>
      <c r="H1211" s="1290"/>
      <c r="I1211" s="1290"/>
      <c r="J1211" s="1290"/>
      <c r="K1211" s="1290"/>
      <c r="L1211" s="1290"/>
      <c r="M1211" s="1290"/>
      <c r="N1211" s="1290"/>
      <c r="O1211" s="1290"/>
      <c r="P1211" s="1290"/>
    </row>
    <row r="1212" spans="1:16" s="1335" customFormat="1">
      <c r="A1212" s="1334"/>
      <c r="B1212" s="1290"/>
      <c r="C1212" s="1290"/>
      <c r="G1212" s="1290"/>
      <c r="H1212" s="1290"/>
      <c r="I1212" s="1290"/>
      <c r="J1212" s="1290"/>
      <c r="K1212" s="1290"/>
      <c r="L1212" s="1290"/>
      <c r="M1212" s="1290"/>
      <c r="N1212" s="1290"/>
      <c r="O1212" s="1290"/>
      <c r="P1212" s="1290"/>
    </row>
    <row r="1213" spans="1:16" s="1335" customFormat="1">
      <c r="A1213" s="1334"/>
      <c r="B1213" s="1290"/>
      <c r="C1213" s="1290"/>
      <c r="G1213" s="1290"/>
      <c r="H1213" s="1290"/>
      <c r="I1213" s="1290"/>
      <c r="J1213" s="1290"/>
      <c r="K1213" s="1290"/>
      <c r="L1213" s="1290"/>
      <c r="M1213" s="1290"/>
      <c r="N1213" s="1290"/>
      <c r="O1213" s="1290"/>
      <c r="P1213" s="1290"/>
    </row>
    <row r="1214" spans="1:16" s="1335" customFormat="1">
      <c r="A1214" s="1334"/>
      <c r="B1214" s="1290"/>
      <c r="C1214" s="1290"/>
      <c r="G1214" s="1290"/>
      <c r="H1214" s="1290"/>
      <c r="I1214" s="1290"/>
      <c r="J1214" s="1290"/>
      <c r="K1214" s="1290"/>
      <c r="L1214" s="1290"/>
      <c r="M1214" s="1290"/>
      <c r="N1214" s="1290"/>
      <c r="O1214" s="1290"/>
      <c r="P1214" s="1290"/>
    </row>
    <row r="1215" spans="1:16" s="1335" customFormat="1">
      <c r="A1215" s="1334"/>
      <c r="B1215" s="1290"/>
      <c r="C1215" s="1290"/>
      <c r="G1215" s="1290"/>
      <c r="H1215" s="1290"/>
      <c r="I1215" s="1290"/>
      <c r="J1215" s="1290"/>
      <c r="K1215" s="1290"/>
      <c r="L1215" s="1290"/>
      <c r="M1215" s="1290"/>
      <c r="N1215" s="1290"/>
      <c r="O1215" s="1290"/>
      <c r="P1215" s="1290"/>
    </row>
    <row r="1216" spans="1:16" s="1335" customFormat="1">
      <c r="A1216" s="1334"/>
      <c r="B1216" s="1290"/>
      <c r="C1216" s="1290"/>
      <c r="G1216" s="1290"/>
      <c r="H1216" s="1290"/>
      <c r="I1216" s="1290"/>
      <c r="J1216" s="1290"/>
      <c r="K1216" s="1290"/>
      <c r="L1216" s="1290"/>
      <c r="M1216" s="1290"/>
      <c r="N1216" s="1290"/>
      <c r="O1216" s="1290"/>
      <c r="P1216" s="1290"/>
    </row>
    <row r="1217" spans="1:16" s="1335" customFormat="1">
      <c r="A1217" s="1334"/>
      <c r="B1217" s="1290"/>
      <c r="C1217" s="1290"/>
      <c r="G1217" s="1290"/>
      <c r="H1217" s="1290"/>
      <c r="I1217" s="1290"/>
      <c r="J1217" s="1290"/>
      <c r="K1217" s="1290"/>
      <c r="L1217" s="1290"/>
      <c r="M1217" s="1290"/>
      <c r="N1217" s="1290"/>
      <c r="O1217" s="1290"/>
      <c r="P1217" s="1290"/>
    </row>
    <row r="1218" spans="1:16" s="1335" customFormat="1">
      <c r="A1218" s="1334"/>
      <c r="B1218" s="1290"/>
      <c r="C1218" s="1290"/>
      <c r="G1218" s="1290"/>
      <c r="H1218" s="1290"/>
      <c r="I1218" s="1290"/>
      <c r="J1218" s="1290"/>
      <c r="K1218" s="1290"/>
      <c r="L1218" s="1290"/>
      <c r="M1218" s="1290"/>
      <c r="N1218" s="1290"/>
      <c r="O1218" s="1290"/>
      <c r="P1218" s="1290"/>
    </row>
    <row r="1219" spans="1:16" s="1335" customFormat="1">
      <c r="A1219" s="1334"/>
      <c r="B1219" s="1290"/>
      <c r="C1219" s="1290"/>
      <c r="G1219" s="1290"/>
      <c r="H1219" s="1290"/>
      <c r="I1219" s="1290"/>
      <c r="J1219" s="1290"/>
      <c r="K1219" s="1290"/>
      <c r="L1219" s="1290"/>
      <c r="M1219" s="1290"/>
      <c r="N1219" s="1290"/>
      <c r="O1219" s="1290"/>
      <c r="P1219" s="1290"/>
    </row>
    <row r="1220" spans="1:16" s="1335" customFormat="1">
      <c r="A1220" s="1334"/>
      <c r="B1220" s="1290"/>
      <c r="C1220" s="1290"/>
      <c r="G1220" s="1290"/>
      <c r="H1220" s="1290"/>
      <c r="I1220" s="1290"/>
      <c r="J1220" s="1290"/>
      <c r="K1220" s="1290"/>
      <c r="L1220" s="1290"/>
      <c r="M1220" s="1290"/>
      <c r="N1220" s="1290"/>
      <c r="O1220" s="1290"/>
      <c r="P1220" s="1290"/>
    </row>
    <row r="1221" spans="1:16" s="1335" customFormat="1">
      <c r="A1221" s="1334"/>
      <c r="B1221" s="1290"/>
      <c r="C1221" s="1290"/>
      <c r="G1221" s="1290"/>
      <c r="H1221" s="1290"/>
      <c r="I1221" s="1290"/>
      <c r="J1221" s="1290"/>
      <c r="K1221" s="1290"/>
      <c r="L1221" s="1290"/>
      <c r="M1221" s="1290"/>
      <c r="N1221" s="1290"/>
      <c r="O1221" s="1290"/>
      <c r="P1221" s="1290"/>
    </row>
    <row r="1222" spans="1:16" s="1335" customFormat="1">
      <c r="A1222" s="1334"/>
      <c r="B1222" s="1290"/>
      <c r="C1222" s="1290"/>
      <c r="G1222" s="1290"/>
      <c r="H1222" s="1290"/>
      <c r="I1222" s="1290"/>
      <c r="J1222" s="1290"/>
      <c r="K1222" s="1290"/>
      <c r="L1222" s="1290"/>
      <c r="M1222" s="1290"/>
      <c r="N1222" s="1290"/>
      <c r="O1222" s="1290"/>
      <c r="P1222" s="1290"/>
    </row>
    <row r="1223" spans="1:16" s="1335" customFormat="1">
      <c r="A1223" s="1334"/>
      <c r="B1223" s="1290"/>
      <c r="C1223" s="1290"/>
      <c r="G1223" s="1290"/>
      <c r="H1223" s="1290"/>
      <c r="I1223" s="1290"/>
      <c r="J1223" s="1290"/>
      <c r="K1223" s="1290"/>
      <c r="L1223" s="1290"/>
      <c r="M1223" s="1290"/>
      <c r="N1223" s="1290"/>
      <c r="O1223" s="1290"/>
      <c r="P1223" s="1290"/>
    </row>
    <row r="1224" spans="1:16" s="1335" customFormat="1">
      <c r="A1224" s="1334"/>
      <c r="B1224" s="1290"/>
      <c r="C1224" s="1290"/>
      <c r="G1224" s="1290"/>
      <c r="H1224" s="1290"/>
      <c r="I1224" s="1290"/>
      <c r="J1224" s="1290"/>
      <c r="K1224" s="1290"/>
      <c r="L1224" s="1290"/>
      <c r="M1224" s="1290"/>
      <c r="N1224" s="1290"/>
      <c r="O1224" s="1290"/>
      <c r="P1224" s="1290"/>
    </row>
    <row r="1225" spans="1:16" s="1335" customFormat="1">
      <c r="A1225" s="1334"/>
      <c r="B1225" s="1290"/>
      <c r="C1225" s="1290"/>
      <c r="G1225" s="1290"/>
      <c r="H1225" s="1290"/>
      <c r="I1225" s="1290"/>
      <c r="J1225" s="1290"/>
      <c r="K1225" s="1290"/>
      <c r="L1225" s="1290"/>
      <c r="M1225" s="1290"/>
      <c r="N1225" s="1290"/>
      <c r="O1225" s="1290"/>
      <c r="P1225" s="1290"/>
    </row>
    <row r="1226" spans="1:16" s="1335" customFormat="1">
      <c r="A1226" s="1334"/>
      <c r="B1226" s="1290"/>
      <c r="C1226" s="1290"/>
      <c r="G1226" s="1290"/>
      <c r="H1226" s="1290"/>
      <c r="I1226" s="1290"/>
      <c r="J1226" s="1290"/>
      <c r="K1226" s="1290"/>
      <c r="L1226" s="1290"/>
      <c r="M1226" s="1290"/>
      <c r="N1226" s="1290"/>
      <c r="O1226" s="1290"/>
      <c r="P1226" s="1290"/>
    </row>
    <row r="1227" spans="1:16" s="1335" customFormat="1">
      <c r="A1227" s="1334"/>
      <c r="B1227" s="1290"/>
      <c r="C1227" s="1290"/>
      <c r="G1227" s="1290"/>
      <c r="H1227" s="1290"/>
      <c r="I1227" s="1290"/>
      <c r="J1227" s="1290"/>
      <c r="K1227" s="1290"/>
      <c r="L1227" s="1290"/>
      <c r="M1227" s="1290"/>
      <c r="N1227" s="1290"/>
      <c r="O1227" s="1290"/>
      <c r="P1227" s="1290"/>
    </row>
    <row r="1228" spans="1:16" s="1335" customFormat="1">
      <c r="A1228" s="1334"/>
      <c r="B1228" s="1290"/>
      <c r="C1228" s="1290"/>
      <c r="G1228" s="1290"/>
      <c r="H1228" s="1290"/>
      <c r="I1228" s="1290"/>
      <c r="J1228" s="1290"/>
      <c r="K1228" s="1290"/>
      <c r="L1228" s="1290"/>
      <c r="M1228" s="1290"/>
      <c r="N1228" s="1290"/>
      <c r="O1228" s="1290"/>
      <c r="P1228" s="1290"/>
    </row>
    <row r="1229" spans="1:16" s="1335" customFormat="1">
      <c r="A1229" s="1334"/>
      <c r="B1229" s="1290"/>
      <c r="C1229" s="1290"/>
      <c r="G1229" s="1290"/>
      <c r="H1229" s="1290"/>
      <c r="I1229" s="1290"/>
      <c r="J1229" s="1290"/>
      <c r="K1229" s="1290"/>
      <c r="L1229" s="1290"/>
      <c r="M1229" s="1290"/>
      <c r="N1229" s="1290"/>
      <c r="O1229" s="1290"/>
      <c r="P1229" s="1290"/>
    </row>
    <row r="1230" spans="1:16" s="1335" customFormat="1">
      <c r="A1230" s="1334"/>
      <c r="B1230" s="1290"/>
      <c r="C1230" s="1290"/>
      <c r="G1230" s="1290"/>
      <c r="H1230" s="1290"/>
      <c r="I1230" s="1290"/>
      <c r="J1230" s="1290"/>
      <c r="K1230" s="1290"/>
      <c r="L1230" s="1290"/>
      <c r="M1230" s="1290"/>
      <c r="N1230" s="1290"/>
      <c r="O1230" s="1290"/>
      <c r="P1230" s="1290"/>
    </row>
    <row r="1231" spans="1:16" s="1335" customFormat="1">
      <c r="A1231" s="1334"/>
      <c r="B1231" s="1290"/>
      <c r="C1231" s="1290"/>
      <c r="G1231" s="1290"/>
      <c r="H1231" s="1290"/>
      <c r="I1231" s="1290"/>
      <c r="J1231" s="1290"/>
      <c r="K1231" s="1290"/>
      <c r="L1231" s="1290"/>
      <c r="M1231" s="1290"/>
      <c r="N1231" s="1290"/>
      <c r="O1231" s="1290"/>
      <c r="P1231" s="1290"/>
    </row>
    <row r="1232" spans="1:16" s="1335" customFormat="1">
      <c r="A1232" s="1334"/>
      <c r="B1232" s="1290"/>
      <c r="C1232" s="1290"/>
      <c r="G1232" s="1290"/>
      <c r="H1232" s="1290"/>
      <c r="I1232" s="1290"/>
      <c r="J1232" s="1290"/>
      <c r="K1232" s="1290"/>
      <c r="L1232" s="1290"/>
      <c r="M1232" s="1290"/>
      <c r="N1232" s="1290"/>
      <c r="O1232" s="1290"/>
      <c r="P1232" s="1290"/>
    </row>
    <row r="1233" spans="1:16" s="1335" customFormat="1">
      <c r="A1233" s="1334"/>
      <c r="B1233" s="1290"/>
      <c r="C1233" s="1290"/>
      <c r="G1233" s="1290"/>
      <c r="H1233" s="1290"/>
      <c r="I1233" s="1290"/>
      <c r="J1233" s="1290"/>
      <c r="K1233" s="1290"/>
      <c r="L1233" s="1290"/>
      <c r="M1233" s="1290"/>
      <c r="N1233" s="1290"/>
      <c r="O1233" s="1290"/>
      <c r="P1233" s="1290"/>
    </row>
    <row r="1234" spans="1:16" s="1335" customFormat="1">
      <c r="A1234" s="1334"/>
      <c r="B1234" s="1290"/>
      <c r="C1234" s="1290"/>
      <c r="G1234" s="1290"/>
      <c r="H1234" s="1290"/>
      <c r="I1234" s="1290"/>
      <c r="J1234" s="1290"/>
      <c r="K1234" s="1290"/>
      <c r="L1234" s="1290"/>
      <c r="M1234" s="1290"/>
      <c r="N1234" s="1290"/>
      <c r="O1234" s="1290"/>
      <c r="P1234" s="1290"/>
    </row>
    <row r="1235" spans="1:16" s="1335" customFormat="1">
      <c r="A1235" s="1334"/>
      <c r="B1235" s="1290"/>
      <c r="C1235" s="1290"/>
      <c r="G1235" s="1290"/>
      <c r="H1235" s="1290"/>
      <c r="I1235" s="1290"/>
      <c r="J1235" s="1290"/>
      <c r="K1235" s="1290"/>
      <c r="L1235" s="1290"/>
      <c r="M1235" s="1290"/>
      <c r="N1235" s="1290"/>
      <c r="O1235" s="1290"/>
      <c r="P1235" s="1290"/>
    </row>
    <row r="1236" spans="1:16" s="1335" customFormat="1">
      <c r="A1236" s="1334"/>
      <c r="B1236" s="1290"/>
      <c r="C1236" s="1290"/>
      <c r="G1236" s="1290"/>
      <c r="H1236" s="1290"/>
      <c r="I1236" s="1290"/>
      <c r="J1236" s="1290"/>
      <c r="K1236" s="1290"/>
      <c r="L1236" s="1290"/>
      <c r="M1236" s="1290"/>
      <c r="N1236" s="1290"/>
      <c r="O1236" s="1290"/>
      <c r="P1236" s="1290"/>
    </row>
    <row r="1237" spans="1:16" s="1335" customFormat="1">
      <c r="A1237" s="1334"/>
      <c r="B1237" s="1290"/>
      <c r="C1237" s="1290"/>
      <c r="G1237" s="1290"/>
      <c r="H1237" s="1290"/>
      <c r="I1237" s="1290"/>
      <c r="J1237" s="1290"/>
      <c r="K1237" s="1290"/>
      <c r="L1237" s="1290"/>
      <c r="M1237" s="1290"/>
      <c r="N1237" s="1290"/>
      <c r="O1237" s="1290"/>
      <c r="P1237" s="1290"/>
    </row>
    <row r="1238" spans="1:16" s="1335" customFormat="1">
      <c r="A1238" s="1334"/>
      <c r="B1238" s="1290"/>
      <c r="C1238" s="1290"/>
      <c r="G1238" s="1290"/>
      <c r="H1238" s="1290"/>
      <c r="I1238" s="1290"/>
      <c r="J1238" s="1290"/>
      <c r="K1238" s="1290"/>
      <c r="L1238" s="1290"/>
      <c r="M1238" s="1290"/>
      <c r="N1238" s="1290"/>
      <c r="O1238" s="1290"/>
      <c r="P1238" s="1290"/>
    </row>
    <row r="1239" spans="1:16" s="1335" customFormat="1">
      <c r="A1239" s="1334"/>
      <c r="B1239" s="1290"/>
      <c r="C1239" s="1290"/>
      <c r="G1239" s="1290"/>
      <c r="H1239" s="1290"/>
      <c r="I1239" s="1290"/>
      <c r="J1239" s="1290"/>
      <c r="K1239" s="1290"/>
      <c r="L1239" s="1290"/>
      <c r="M1239" s="1290"/>
      <c r="N1239" s="1290"/>
      <c r="O1239" s="1290"/>
      <c r="P1239" s="1290"/>
    </row>
    <row r="1240" spans="1:16" s="1335" customFormat="1">
      <c r="A1240" s="1334"/>
      <c r="B1240" s="1290"/>
      <c r="C1240" s="1290"/>
      <c r="G1240" s="1290"/>
      <c r="H1240" s="1290"/>
      <c r="I1240" s="1290"/>
      <c r="J1240" s="1290"/>
      <c r="K1240" s="1290"/>
      <c r="L1240" s="1290"/>
      <c r="M1240" s="1290"/>
      <c r="N1240" s="1290"/>
      <c r="O1240" s="1290"/>
      <c r="P1240" s="1290"/>
    </row>
    <row r="1241" spans="1:16" s="1335" customFormat="1">
      <c r="A1241" s="1334"/>
      <c r="B1241" s="1290"/>
      <c r="C1241" s="1290"/>
      <c r="G1241" s="1290"/>
      <c r="H1241" s="1290"/>
      <c r="I1241" s="1290"/>
      <c r="J1241" s="1290"/>
      <c r="K1241" s="1290"/>
      <c r="L1241" s="1290"/>
      <c r="M1241" s="1290"/>
      <c r="N1241" s="1290"/>
      <c r="O1241" s="1290"/>
      <c r="P1241" s="1290"/>
    </row>
    <row r="1242" spans="1:16" s="1335" customFormat="1">
      <c r="A1242" s="1334"/>
      <c r="B1242" s="1290"/>
      <c r="C1242" s="1290"/>
      <c r="G1242" s="1290"/>
      <c r="H1242" s="1290"/>
      <c r="I1242" s="1290"/>
      <c r="J1242" s="1290"/>
      <c r="K1242" s="1290"/>
      <c r="L1242" s="1290"/>
      <c r="M1242" s="1290"/>
      <c r="N1242" s="1290"/>
      <c r="O1242" s="1290"/>
      <c r="P1242" s="1290"/>
    </row>
    <row r="1243" spans="1:16" s="1335" customFormat="1">
      <c r="A1243" s="1334"/>
      <c r="B1243" s="1290"/>
      <c r="C1243" s="1290"/>
      <c r="G1243" s="1290"/>
      <c r="H1243" s="1290"/>
      <c r="I1243" s="1290"/>
      <c r="J1243" s="1290"/>
      <c r="K1243" s="1290"/>
      <c r="L1243" s="1290"/>
      <c r="M1243" s="1290"/>
      <c r="N1243" s="1290"/>
      <c r="O1243" s="1290"/>
      <c r="P1243" s="1290"/>
    </row>
    <row r="1244" spans="1:16" s="1335" customFormat="1">
      <c r="A1244" s="1334"/>
      <c r="B1244" s="1290"/>
      <c r="C1244" s="1290"/>
      <c r="G1244" s="1290"/>
      <c r="H1244" s="1290"/>
      <c r="I1244" s="1290"/>
      <c r="J1244" s="1290"/>
      <c r="K1244" s="1290"/>
      <c r="L1244" s="1290"/>
      <c r="M1244" s="1290"/>
      <c r="N1244" s="1290"/>
      <c r="O1244" s="1290"/>
      <c r="P1244" s="1290"/>
    </row>
    <row r="1245" spans="1:16" s="1335" customFormat="1">
      <c r="A1245" s="1334"/>
      <c r="B1245" s="1290"/>
      <c r="C1245" s="1290"/>
      <c r="G1245" s="1290"/>
      <c r="H1245" s="1290"/>
      <c r="I1245" s="1290"/>
      <c r="J1245" s="1290"/>
      <c r="K1245" s="1290"/>
      <c r="L1245" s="1290"/>
      <c r="M1245" s="1290"/>
      <c r="N1245" s="1290"/>
      <c r="O1245" s="1290"/>
      <c r="P1245" s="1290"/>
    </row>
    <row r="1246" spans="1:16" s="1335" customFormat="1">
      <c r="A1246" s="1334"/>
      <c r="B1246" s="1290"/>
      <c r="C1246" s="1290"/>
      <c r="G1246" s="1290"/>
      <c r="H1246" s="1290"/>
      <c r="I1246" s="1290"/>
      <c r="J1246" s="1290"/>
      <c r="K1246" s="1290"/>
      <c r="L1246" s="1290"/>
      <c r="M1246" s="1290"/>
      <c r="N1246" s="1290"/>
      <c r="O1246" s="1290"/>
      <c r="P1246" s="1290"/>
    </row>
    <row r="1247" spans="1:16" s="1335" customFormat="1">
      <c r="A1247" s="1334"/>
      <c r="B1247" s="1290"/>
      <c r="C1247" s="1290"/>
      <c r="G1247" s="1290"/>
      <c r="H1247" s="1290"/>
      <c r="I1247" s="1290"/>
      <c r="J1247" s="1290"/>
      <c r="K1247" s="1290"/>
      <c r="L1247" s="1290"/>
      <c r="M1247" s="1290"/>
      <c r="N1247" s="1290"/>
      <c r="O1247" s="1290"/>
      <c r="P1247" s="1290"/>
    </row>
    <row r="1248" spans="1:16" s="1335" customFormat="1">
      <c r="A1248" s="1334"/>
      <c r="B1248" s="1290"/>
      <c r="C1248" s="1290"/>
      <c r="G1248" s="1290"/>
      <c r="H1248" s="1290"/>
      <c r="I1248" s="1290"/>
      <c r="J1248" s="1290"/>
      <c r="K1248" s="1290"/>
      <c r="L1248" s="1290"/>
      <c r="M1248" s="1290"/>
      <c r="N1248" s="1290"/>
      <c r="O1248" s="1290"/>
      <c r="P1248" s="1290"/>
    </row>
    <row r="1249" spans="1:16" s="1335" customFormat="1">
      <c r="A1249" s="1334"/>
      <c r="B1249" s="1290"/>
      <c r="C1249" s="1290"/>
      <c r="G1249" s="1290"/>
      <c r="H1249" s="1290"/>
      <c r="I1249" s="1290"/>
      <c r="J1249" s="1290"/>
      <c r="K1249" s="1290"/>
      <c r="L1249" s="1290"/>
      <c r="M1249" s="1290"/>
      <c r="N1249" s="1290"/>
      <c r="O1249" s="1290"/>
      <c r="P1249" s="1290"/>
    </row>
    <row r="1250" spans="1:16" s="1335" customFormat="1">
      <c r="A1250" s="1334"/>
      <c r="B1250" s="1290"/>
      <c r="C1250" s="1290"/>
      <c r="G1250" s="1290"/>
      <c r="H1250" s="1290"/>
      <c r="I1250" s="1290"/>
      <c r="J1250" s="1290"/>
      <c r="K1250" s="1290"/>
      <c r="L1250" s="1290"/>
      <c r="M1250" s="1290"/>
      <c r="N1250" s="1290"/>
      <c r="O1250" s="1290"/>
      <c r="P1250" s="1290"/>
    </row>
    <row r="1251" spans="1:16" s="1335" customFormat="1">
      <c r="A1251" s="1334"/>
      <c r="B1251" s="1290"/>
      <c r="C1251" s="1290"/>
      <c r="G1251" s="1290"/>
      <c r="H1251" s="1290"/>
      <c r="I1251" s="1290"/>
      <c r="J1251" s="1290"/>
      <c r="K1251" s="1290"/>
      <c r="L1251" s="1290"/>
      <c r="M1251" s="1290"/>
      <c r="N1251" s="1290"/>
      <c r="O1251" s="1290"/>
      <c r="P1251" s="1290"/>
    </row>
    <row r="1252" spans="1:16" s="1335" customFormat="1">
      <c r="A1252" s="1334"/>
      <c r="B1252" s="1290"/>
      <c r="C1252" s="1290"/>
      <c r="G1252" s="1290"/>
      <c r="H1252" s="1290"/>
      <c r="I1252" s="1290"/>
      <c r="J1252" s="1290"/>
      <c r="K1252" s="1290"/>
      <c r="L1252" s="1290"/>
      <c r="M1252" s="1290"/>
      <c r="N1252" s="1290"/>
      <c r="O1252" s="1290"/>
      <c r="P1252" s="1290"/>
    </row>
    <row r="1253" spans="1:16" s="1335" customFormat="1">
      <c r="A1253" s="1334"/>
      <c r="B1253" s="1290"/>
      <c r="C1253" s="1290"/>
      <c r="G1253" s="1290"/>
      <c r="H1253" s="1290"/>
      <c r="I1253" s="1290"/>
      <c r="J1253" s="1290"/>
      <c r="K1253" s="1290"/>
      <c r="L1253" s="1290"/>
      <c r="M1253" s="1290"/>
      <c r="N1253" s="1290"/>
      <c r="O1253" s="1290"/>
      <c r="P1253" s="1290"/>
    </row>
    <row r="1254" spans="1:16" s="1335" customFormat="1">
      <c r="A1254" s="1334"/>
      <c r="B1254" s="1290"/>
      <c r="C1254" s="1290"/>
      <c r="G1254" s="1290"/>
      <c r="H1254" s="1290"/>
      <c r="I1254" s="1290"/>
      <c r="J1254" s="1290"/>
      <c r="K1254" s="1290"/>
      <c r="L1254" s="1290"/>
      <c r="M1254" s="1290"/>
      <c r="N1254" s="1290"/>
      <c r="O1254" s="1290"/>
      <c r="P1254" s="1290"/>
    </row>
    <row r="1255" spans="1:16" s="1335" customFormat="1">
      <c r="A1255" s="1334"/>
      <c r="B1255" s="1290"/>
      <c r="C1255" s="1290"/>
      <c r="G1255" s="1290"/>
      <c r="H1255" s="1290"/>
      <c r="I1255" s="1290"/>
      <c r="J1255" s="1290"/>
      <c r="K1255" s="1290"/>
      <c r="L1255" s="1290"/>
      <c r="M1255" s="1290"/>
      <c r="N1255" s="1290"/>
      <c r="O1255" s="1290"/>
      <c r="P1255" s="1290"/>
    </row>
    <row r="1256" spans="1:16" s="1335" customFormat="1">
      <c r="A1256" s="1334"/>
      <c r="B1256" s="1290"/>
      <c r="C1256" s="1290"/>
      <c r="G1256" s="1290"/>
      <c r="H1256" s="1290"/>
      <c r="I1256" s="1290"/>
      <c r="J1256" s="1290"/>
      <c r="K1256" s="1290"/>
      <c r="L1256" s="1290"/>
      <c r="M1256" s="1290"/>
      <c r="N1256" s="1290"/>
      <c r="O1256" s="1290"/>
      <c r="P1256" s="1290"/>
    </row>
    <row r="1257" spans="1:16" s="1335" customFormat="1">
      <c r="A1257" s="1334"/>
      <c r="B1257" s="1290"/>
      <c r="C1257" s="1290"/>
      <c r="G1257" s="1290"/>
      <c r="H1257" s="1290"/>
      <c r="I1257" s="1290"/>
      <c r="J1257" s="1290"/>
      <c r="K1257" s="1290"/>
      <c r="L1257" s="1290"/>
      <c r="M1257" s="1290"/>
      <c r="N1257" s="1290"/>
      <c r="O1257" s="1290"/>
      <c r="P1257" s="1290"/>
    </row>
    <row r="1258" spans="1:16" s="1335" customFormat="1">
      <c r="A1258" s="1334"/>
      <c r="B1258" s="1290"/>
      <c r="C1258" s="1290"/>
      <c r="G1258" s="1290"/>
      <c r="H1258" s="1290"/>
      <c r="I1258" s="1290"/>
      <c r="J1258" s="1290"/>
      <c r="K1258" s="1290"/>
      <c r="L1258" s="1290"/>
      <c r="M1258" s="1290"/>
      <c r="N1258" s="1290"/>
      <c r="O1258" s="1290"/>
      <c r="P1258" s="1290"/>
    </row>
    <row r="1259" spans="1:16" s="1335" customFormat="1">
      <c r="A1259" s="1334"/>
      <c r="B1259" s="1290"/>
      <c r="C1259" s="1290"/>
      <c r="G1259" s="1290"/>
      <c r="H1259" s="1290"/>
      <c r="I1259" s="1290"/>
      <c r="J1259" s="1290"/>
      <c r="K1259" s="1290"/>
      <c r="L1259" s="1290"/>
      <c r="M1259" s="1290"/>
      <c r="N1259" s="1290"/>
      <c r="O1259" s="1290"/>
      <c r="P1259" s="1290"/>
    </row>
    <row r="1260" spans="1:16" s="1335" customFormat="1">
      <c r="A1260" s="1334"/>
      <c r="B1260" s="1290"/>
      <c r="C1260" s="1290"/>
      <c r="G1260" s="1290"/>
      <c r="H1260" s="1290"/>
      <c r="I1260" s="1290"/>
      <c r="J1260" s="1290"/>
      <c r="K1260" s="1290"/>
      <c r="L1260" s="1290"/>
      <c r="M1260" s="1290"/>
      <c r="N1260" s="1290"/>
      <c r="O1260" s="1290"/>
      <c r="P1260" s="1290"/>
    </row>
    <row r="1261" spans="1:16" s="1335" customFormat="1">
      <c r="A1261" s="1334"/>
      <c r="B1261" s="1290"/>
      <c r="C1261" s="1290"/>
      <c r="G1261" s="1290"/>
      <c r="H1261" s="1290"/>
      <c r="I1261" s="1290"/>
      <c r="J1261" s="1290"/>
      <c r="K1261" s="1290"/>
      <c r="L1261" s="1290"/>
      <c r="M1261" s="1290"/>
      <c r="N1261" s="1290"/>
      <c r="O1261" s="1290"/>
      <c r="P1261" s="1290"/>
    </row>
    <row r="1262" spans="1:16" s="1335" customFormat="1">
      <c r="A1262" s="1334"/>
      <c r="B1262" s="1290"/>
      <c r="C1262" s="1290"/>
      <c r="G1262" s="1290"/>
      <c r="H1262" s="1290"/>
      <c r="I1262" s="1290"/>
      <c r="J1262" s="1290"/>
      <c r="K1262" s="1290"/>
      <c r="L1262" s="1290"/>
      <c r="M1262" s="1290"/>
      <c r="N1262" s="1290"/>
      <c r="O1262" s="1290"/>
      <c r="P1262" s="1290"/>
    </row>
    <row r="1263" spans="1:16" s="1335" customFormat="1">
      <c r="A1263" s="1334"/>
      <c r="B1263" s="1290"/>
      <c r="C1263" s="1290"/>
      <c r="G1263" s="1290"/>
      <c r="H1263" s="1290"/>
      <c r="I1263" s="1290"/>
      <c r="J1263" s="1290"/>
      <c r="K1263" s="1290"/>
      <c r="L1263" s="1290"/>
      <c r="M1263" s="1290"/>
      <c r="N1263" s="1290"/>
      <c r="O1263" s="1290"/>
      <c r="P1263" s="1290"/>
    </row>
    <row r="1264" spans="1:16" s="1335" customFormat="1">
      <c r="A1264" s="1334"/>
      <c r="B1264" s="1290"/>
      <c r="C1264" s="1290"/>
      <c r="G1264" s="1290"/>
      <c r="H1264" s="1290"/>
      <c r="I1264" s="1290"/>
      <c r="J1264" s="1290"/>
      <c r="K1264" s="1290"/>
      <c r="L1264" s="1290"/>
      <c r="M1264" s="1290"/>
      <c r="N1264" s="1290"/>
      <c r="O1264" s="1290"/>
      <c r="P1264" s="1290"/>
    </row>
    <row r="1265" spans="1:16" s="1335" customFormat="1">
      <c r="A1265" s="1334"/>
      <c r="B1265" s="1290"/>
      <c r="C1265" s="1290"/>
      <c r="G1265" s="1290"/>
      <c r="H1265" s="1290"/>
      <c r="I1265" s="1290"/>
      <c r="J1265" s="1290"/>
      <c r="K1265" s="1290"/>
      <c r="L1265" s="1290"/>
      <c r="M1265" s="1290"/>
      <c r="N1265" s="1290"/>
      <c r="O1265" s="1290"/>
      <c r="P1265" s="1290"/>
    </row>
    <row r="1266" spans="1:16" s="1335" customFormat="1">
      <c r="A1266" s="1334"/>
      <c r="B1266" s="1290"/>
      <c r="C1266" s="1290"/>
      <c r="G1266" s="1290"/>
      <c r="H1266" s="1290"/>
      <c r="I1266" s="1290"/>
      <c r="J1266" s="1290"/>
      <c r="K1266" s="1290"/>
      <c r="L1266" s="1290"/>
      <c r="M1266" s="1290"/>
      <c r="N1266" s="1290"/>
      <c r="O1266" s="1290"/>
      <c r="P1266" s="1290"/>
    </row>
    <row r="1267" spans="1:16" s="1335" customFormat="1">
      <c r="A1267" s="1334"/>
      <c r="B1267" s="1290"/>
      <c r="C1267" s="1290"/>
      <c r="G1267" s="1290"/>
      <c r="H1267" s="1290"/>
      <c r="I1267" s="1290"/>
      <c r="J1267" s="1290"/>
      <c r="K1267" s="1290"/>
      <c r="L1267" s="1290"/>
      <c r="M1267" s="1290"/>
      <c r="N1267" s="1290"/>
      <c r="O1267" s="1290"/>
      <c r="P1267" s="1290"/>
    </row>
    <row r="1268" spans="1:16" s="1335" customFormat="1">
      <c r="A1268" s="1334"/>
      <c r="B1268" s="1290"/>
      <c r="C1268" s="1290"/>
      <c r="G1268" s="1290"/>
      <c r="H1268" s="1290"/>
      <c r="I1268" s="1290"/>
      <c r="J1268" s="1290"/>
      <c r="K1268" s="1290"/>
      <c r="L1268" s="1290"/>
      <c r="M1268" s="1290"/>
      <c r="N1268" s="1290"/>
      <c r="O1268" s="1290"/>
      <c r="P1268" s="1290"/>
    </row>
    <row r="1269" spans="1:16" s="1335" customFormat="1">
      <c r="A1269" s="1334"/>
      <c r="B1269" s="1290"/>
      <c r="C1269" s="1290"/>
      <c r="G1269" s="1290"/>
      <c r="H1269" s="1290"/>
      <c r="I1269" s="1290"/>
      <c r="J1269" s="1290"/>
      <c r="K1269" s="1290"/>
      <c r="L1269" s="1290"/>
      <c r="M1269" s="1290"/>
      <c r="N1269" s="1290"/>
      <c r="O1269" s="1290"/>
      <c r="P1269" s="1290"/>
    </row>
    <row r="1270" spans="1:16" s="1335" customFormat="1">
      <c r="A1270" s="1334"/>
      <c r="B1270" s="1290"/>
      <c r="C1270" s="1290"/>
      <c r="G1270" s="1290"/>
      <c r="H1270" s="1290"/>
      <c r="I1270" s="1290"/>
      <c r="J1270" s="1290"/>
      <c r="K1270" s="1290"/>
      <c r="L1270" s="1290"/>
      <c r="M1270" s="1290"/>
      <c r="N1270" s="1290"/>
      <c r="O1270" s="1290"/>
      <c r="P1270" s="1290"/>
    </row>
    <row r="1271" spans="1:16" s="1335" customFormat="1">
      <c r="A1271" s="1334"/>
      <c r="B1271" s="1290"/>
      <c r="C1271" s="1290"/>
      <c r="G1271" s="1290"/>
      <c r="H1271" s="1290"/>
      <c r="I1271" s="1290"/>
      <c r="J1271" s="1290"/>
      <c r="K1271" s="1290"/>
      <c r="L1271" s="1290"/>
      <c r="M1271" s="1290"/>
      <c r="N1271" s="1290"/>
      <c r="O1271" s="1290"/>
      <c r="P1271" s="1290"/>
    </row>
    <row r="1272" spans="1:16" s="1335" customFormat="1">
      <c r="A1272" s="1334"/>
      <c r="B1272" s="1290"/>
      <c r="C1272" s="1290"/>
      <c r="G1272" s="1290"/>
      <c r="H1272" s="1290"/>
      <c r="I1272" s="1290"/>
      <c r="J1272" s="1290"/>
      <c r="K1272" s="1290"/>
      <c r="L1272" s="1290"/>
      <c r="M1272" s="1290"/>
      <c r="N1272" s="1290"/>
      <c r="O1272" s="1290"/>
      <c r="P1272" s="1290"/>
    </row>
    <row r="1273" spans="1:16" s="1335" customFormat="1">
      <c r="A1273" s="1334"/>
      <c r="B1273" s="1290"/>
      <c r="C1273" s="1290"/>
      <c r="G1273" s="1290"/>
      <c r="H1273" s="1290"/>
      <c r="I1273" s="1290"/>
      <c r="J1273" s="1290"/>
      <c r="K1273" s="1290"/>
      <c r="L1273" s="1290"/>
      <c r="M1273" s="1290"/>
      <c r="N1273" s="1290"/>
      <c r="O1273" s="1290"/>
      <c r="P1273" s="1290"/>
    </row>
    <row r="1274" spans="1:16" s="1335" customFormat="1">
      <c r="A1274" s="1334"/>
      <c r="B1274" s="1290"/>
      <c r="C1274" s="1290"/>
      <c r="G1274" s="1290"/>
      <c r="H1274" s="1290"/>
      <c r="I1274" s="1290"/>
      <c r="J1274" s="1290"/>
      <c r="K1274" s="1290"/>
      <c r="L1274" s="1290"/>
      <c r="M1274" s="1290"/>
      <c r="N1274" s="1290"/>
      <c r="O1274" s="1290"/>
      <c r="P1274" s="1290"/>
    </row>
    <row r="1275" spans="1:16" s="1335" customFormat="1">
      <c r="A1275" s="1334"/>
      <c r="B1275" s="1290"/>
      <c r="C1275" s="1290"/>
      <c r="G1275" s="1290"/>
      <c r="H1275" s="1290"/>
      <c r="I1275" s="1290"/>
      <c r="J1275" s="1290"/>
      <c r="K1275" s="1290"/>
      <c r="L1275" s="1290"/>
      <c r="M1275" s="1290"/>
      <c r="N1275" s="1290"/>
      <c r="O1275" s="1290"/>
      <c r="P1275" s="1290"/>
    </row>
    <row r="1276" spans="1:16" s="1335" customFormat="1">
      <c r="A1276" s="1334"/>
      <c r="B1276" s="1290"/>
      <c r="C1276" s="1290"/>
      <c r="G1276" s="1290"/>
      <c r="H1276" s="1290"/>
      <c r="I1276" s="1290"/>
      <c r="J1276" s="1290"/>
      <c r="K1276" s="1290"/>
      <c r="L1276" s="1290"/>
      <c r="M1276" s="1290"/>
      <c r="N1276" s="1290"/>
      <c r="O1276" s="1290"/>
      <c r="P1276" s="1290"/>
    </row>
    <row r="1277" spans="1:16" s="1335" customFormat="1">
      <c r="A1277" s="1334"/>
      <c r="B1277" s="1290"/>
      <c r="C1277" s="1290"/>
      <c r="G1277" s="1290"/>
      <c r="H1277" s="1290"/>
      <c r="I1277" s="1290"/>
      <c r="J1277" s="1290"/>
      <c r="K1277" s="1290"/>
      <c r="L1277" s="1290"/>
      <c r="M1277" s="1290"/>
      <c r="N1277" s="1290"/>
      <c r="O1277" s="1290"/>
      <c r="P1277" s="1290"/>
    </row>
    <row r="1278" spans="1:16" s="1335" customFormat="1">
      <c r="A1278" s="1334"/>
      <c r="B1278" s="1290"/>
      <c r="C1278" s="1290"/>
      <c r="G1278" s="1290"/>
      <c r="H1278" s="1290"/>
      <c r="I1278" s="1290"/>
      <c r="J1278" s="1290"/>
      <c r="K1278" s="1290"/>
      <c r="L1278" s="1290"/>
      <c r="M1278" s="1290"/>
      <c r="N1278" s="1290"/>
      <c r="O1278" s="1290"/>
      <c r="P1278" s="1290"/>
    </row>
    <row r="1279" spans="1:16" s="1335" customFormat="1">
      <c r="A1279" s="1334"/>
      <c r="B1279" s="1290"/>
      <c r="C1279" s="1290"/>
      <c r="G1279" s="1290"/>
      <c r="H1279" s="1290"/>
      <c r="I1279" s="1290"/>
      <c r="J1279" s="1290"/>
      <c r="K1279" s="1290"/>
      <c r="L1279" s="1290"/>
      <c r="M1279" s="1290"/>
      <c r="N1279" s="1290"/>
      <c r="O1279" s="1290"/>
      <c r="P1279" s="1290"/>
    </row>
    <row r="1280" spans="1:16" s="1335" customFormat="1">
      <c r="A1280" s="1334"/>
      <c r="B1280" s="1290"/>
      <c r="C1280" s="1290"/>
      <c r="G1280" s="1290"/>
      <c r="H1280" s="1290"/>
      <c r="I1280" s="1290"/>
      <c r="J1280" s="1290"/>
      <c r="K1280" s="1290"/>
      <c r="L1280" s="1290"/>
      <c r="M1280" s="1290"/>
      <c r="N1280" s="1290"/>
      <c r="O1280" s="1290"/>
      <c r="P1280" s="1290"/>
    </row>
    <row r="1281" spans="1:16" s="1335" customFormat="1">
      <c r="A1281" s="1334"/>
      <c r="B1281" s="1290"/>
      <c r="C1281" s="1290"/>
      <c r="G1281" s="1290"/>
      <c r="H1281" s="1290"/>
      <c r="I1281" s="1290"/>
      <c r="J1281" s="1290"/>
      <c r="K1281" s="1290"/>
      <c r="L1281" s="1290"/>
      <c r="M1281" s="1290"/>
      <c r="N1281" s="1290"/>
      <c r="O1281" s="1290"/>
      <c r="P1281" s="1290"/>
    </row>
    <row r="1282" spans="1:16" s="1335" customFormat="1">
      <c r="A1282" s="1334"/>
      <c r="B1282" s="1290"/>
      <c r="C1282" s="1290"/>
      <c r="G1282" s="1290"/>
      <c r="H1282" s="1290"/>
      <c r="I1282" s="1290"/>
      <c r="J1282" s="1290"/>
      <c r="K1282" s="1290"/>
      <c r="L1282" s="1290"/>
      <c r="M1282" s="1290"/>
      <c r="N1282" s="1290"/>
      <c r="O1282" s="1290"/>
      <c r="P1282" s="1290"/>
    </row>
    <row r="1283" spans="1:16" s="1335" customFormat="1">
      <c r="A1283" s="1334"/>
      <c r="B1283" s="1290"/>
      <c r="C1283" s="1290"/>
      <c r="G1283" s="1290"/>
      <c r="H1283" s="1290"/>
      <c r="I1283" s="1290"/>
      <c r="J1283" s="1290"/>
      <c r="K1283" s="1290"/>
      <c r="L1283" s="1290"/>
      <c r="M1283" s="1290"/>
      <c r="N1283" s="1290"/>
      <c r="O1283" s="1290"/>
      <c r="P1283" s="1290"/>
    </row>
    <row r="1284" spans="1:16" s="1335" customFormat="1">
      <c r="A1284" s="1334"/>
      <c r="B1284" s="1290"/>
      <c r="C1284" s="1290"/>
      <c r="G1284" s="1290"/>
      <c r="H1284" s="1290"/>
      <c r="I1284" s="1290"/>
      <c r="J1284" s="1290"/>
      <c r="K1284" s="1290"/>
      <c r="L1284" s="1290"/>
      <c r="M1284" s="1290"/>
      <c r="N1284" s="1290"/>
      <c r="O1284" s="1290"/>
      <c r="P1284" s="1290"/>
    </row>
    <row r="1285" spans="1:16" s="1335" customFormat="1">
      <c r="A1285" s="1334"/>
      <c r="B1285" s="1290"/>
      <c r="C1285" s="1290"/>
      <c r="G1285" s="1290"/>
      <c r="H1285" s="1290"/>
      <c r="I1285" s="1290"/>
      <c r="J1285" s="1290"/>
      <c r="K1285" s="1290"/>
      <c r="L1285" s="1290"/>
      <c r="M1285" s="1290"/>
      <c r="N1285" s="1290"/>
      <c r="O1285" s="1290"/>
      <c r="P1285" s="1290"/>
    </row>
    <row r="1286" spans="1:16" s="1335" customFormat="1">
      <c r="A1286" s="1334"/>
      <c r="B1286" s="1290"/>
      <c r="C1286" s="1290"/>
      <c r="G1286" s="1290"/>
      <c r="H1286" s="1290"/>
      <c r="I1286" s="1290"/>
      <c r="J1286" s="1290"/>
      <c r="K1286" s="1290"/>
      <c r="L1286" s="1290"/>
      <c r="M1286" s="1290"/>
      <c r="N1286" s="1290"/>
      <c r="O1286" s="1290"/>
      <c r="P1286" s="1290"/>
    </row>
    <row r="1287" spans="1:16" s="1335" customFormat="1">
      <c r="A1287" s="1334"/>
      <c r="B1287" s="1290"/>
      <c r="C1287" s="1290"/>
      <c r="G1287" s="1290"/>
      <c r="H1287" s="1290"/>
      <c r="I1287" s="1290"/>
      <c r="J1287" s="1290"/>
      <c r="K1287" s="1290"/>
      <c r="L1287" s="1290"/>
      <c r="M1287" s="1290"/>
      <c r="N1287" s="1290"/>
      <c r="O1287" s="1290"/>
      <c r="P1287" s="1290"/>
    </row>
    <row r="1288" spans="1:16" s="1335" customFormat="1">
      <c r="A1288" s="1334"/>
      <c r="B1288" s="1290"/>
      <c r="C1288" s="1290"/>
      <c r="G1288" s="1290"/>
      <c r="H1288" s="1290"/>
      <c r="I1288" s="1290"/>
      <c r="J1288" s="1290"/>
      <c r="K1288" s="1290"/>
      <c r="L1288" s="1290"/>
      <c r="M1288" s="1290"/>
      <c r="N1288" s="1290"/>
      <c r="O1288" s="1290"/>
      <c r="P1288" s="1290"/>
    </row>
    <row r="1289" spans="1:16" s="1335" customFormat="1">
      <c r="A1289" s="1334"/>
      <c r="B1289" s="1290"/>
      <c r="C1289" s="1290"/>
      <c r="G1289" s="1290"/>
      <c r="H1289" s="1290"/>
      <c r="I1289" s="1290"/>
      <c r="J1289" s="1290"/>
      <c r="K1289" s="1290"/>
      <c r="L1289" s="1290"/>
      <c r="M1289" s="1290"/>
      <c r="N1289" s="1290"/>
      <c r="O1289" s="1290"/>
      <c r="P1289" s="1290"/>
    </row>
    <row r="1290" spans="1:16" s="1335" customFormat="1">
      <c r="A1290" s="1334"/>
      <c r="B1290" s="1290"/>
      <c r="C1290" s="1290"/>
      <c r="G1290" s="1290"/>
      <c r="H1290" s="1290"/>
      <c r="I1290" s="1290"/>
      <c r="J1290" s="1290"/>
      <c r="K1290" s="1290"/>
      <c r="L1290" s="1290"/>
      <c r="M1290" s="1290"/>
      <c r="N1290" s="1290"/>
      <c r="O1290" s="1290"/>
      <c r="P1290" s="1290"/>
    </row>
    <row r="1291" spans="1:16" s="1335" customFormat="1">
      <c r="A1291" s="1334"/>
      <c r="B1291" s="1290"/>
      <c r="C1291" s="1290"/>
      <c r="G1291" s="1290"/>
      <c r="H1291" s="1290"/>
      <c r="I1291" s="1290"/>
      <c r="J1291" s="1290"/>
      <c r="K1291" s="1290"/>
      <c r="L1291" s="1290"/>
      <c r="M1291" s="1290"/>
      <c r="N1291" s="1290"/>
      <c r="O1291" s="1290"/>
      <c r="P1291" s="1290"/>
    </row>
    <row r="1292" spans="1:16" s="1335" customFormat="1">
      <c r="A1292" s="1334"/>
      <c r="B1292" s="1290"/>
      <c r="C1292" s="1290"/>
      <c r="G1292" s="1290"/>
      <c r="H1292" s="1290"/>
      <c r="I1292" s="1290"/>
      <c r="J1292" s="1290"/>
      <c r="K1292" s="1290"/>
      <c r="L1292" s="1290"/>
      <c r="M1292" s="1290"/>
      <c r="N1292" s="1290"/>
      <c r="O1292" s="1290"/>
      <c r="P1292" s="1290"/>
    </row>
    <row r="1293" spans="1:16" s="1335" customFormat="1">
      <c r="A1293" s="1334"/>
      <c r="B1293" s="1290"/>
      <c r="C1293" s="1290"/>
      <c r="G1293" s="1290"/>
      <c r="H1293" s="1290"/>
      <c r="I1293" s="1290"/>
      <c r="J1293" s="1290"/>
      <c r="K1293" s="1290"/>
      <c r="L1293" s="1290"/>
      <c r="M1293" s="1290"/>
      <c r="N1293" s="1290"/>
      <c r="O1293" s="1290"/>
      <c r="P1293" s="1290"/>
    </row>
    <row r="1294" spans="1:16" s="1335" customFormat="1">
      <c r="A1294" s="1334"/>
      <c r="B1294" s="1290"/>
      <c r="C1294" s="1290"/>
      <c r="G1294" s="1290"/>
      <c r="H1294" s="1290"/>
      <c r="I1294" s="1290"/>
      <c r="J1294" s="1290"/>
      <c r="K1294" s="1290"/>
      <c r="L1294" s="1290"/>
      <c r="M1294" s="1290"/>
      <c r="N1294" s="1290"/>
      <c r="O1294" s="1290"/>
      <c r="P1294" s="1290"/>
    </row>
    <row r="1295" spans="1:16" s="1335" customFormat="1">
      <c r="A1295" s="1334"/>
      <c r="B1295" s="1290"/>
      <c r="C1295" s="1290"/>
      <c r="G1295" s="1290"/>
      <c r="H1295" s="1290"/>
      <c r="I1295" s="1290"/>
      <c r="J1295" s="1290"/>
      <c r="K1295" s="1290"/>
      <c r="L1295" s="1290"/>
      <c r="M1295" s="1290"/>
      <c r="N1295" s="1290"/>
      <c r="O1295" s="1290"/>
      <c r="P1295" s="1290"/>
    </row>
    <row r="1296" spans="1:16" s="1335" customFormat="1">
      <c r="A1296" s="1334"/>
      <c r="B1296" s="1290"/>
      <c r="C1296" s="1290"/>
      <c r="G1296" s="1290"/>
      <c r="H1296" s="1290"/>
      <c r="I1296" s="1290"/>
      <c r="J1296" s="1290"/>
      <c r="K1296" s="1290"/>
      <c r="L1296" s="1290"/>
      <c r="M1296" s="1290"/>
      <c r="N1296" s="1290"/>
      <c r="O1296" s="1290"/>
      <c r="P1296" s="1290"/>
    </row>
    <row r="1297" spans="1:16" s="1335" customFormat="1">
      <c r="A1297" s="1334"/>
      <c r="B1297" s="1290"/>
      <c r="C1297" s="1290"/>
      <c r="G1297" s="1290"/>
      <c r="H1297" s="1290"/>
      <c r="I1297" s="1290"/>
      <c r="J1297" s="1290"/>
      <c r="K1297" s="1290"/>
      <c r="L1297" s="1290"/>
      <c r="M1297" s="1290"/>
      <c r="N1297" s="1290"/>
      <c r="O1297" s="1290"/>
      <c r="P1297" s="1290"/>
    </row>
    <row r="1298" spans="1:16" s="1335" customFormat="1">
      <c r="A1298" s="1334"/>
      <c r="B1298" s="1290"/>
      <c r="C1298" s="1290"/>
      <c r="G1298" s="1290"/>
      <c r="H1298" s="1290"/>
      <c r="I1298" s="1290"/>
      <c r="J1298" s="1290"/>
      <c r="K1298" s="1290"/>
      <c r="L1298" s="1290"/>
      <c r="M1298" s="1290"/>
      <c r="N1298" s="1290"/>
      <c r="O1298" s="1290"/>
      <c r="P1298" s="1290"/>
    </row>
    <row r="1299" spans="1:16" s="1335" customFormat="1">
      <c r="A1299" s="1334"/>
      <c r="B1299" s="1290"/>
      <c r="C1299" s="1290"/>
      <c r="G1299" s="1290"/>
      <c r="H1299" s="1290"/>
      <c r="I1299" s="1290"/>
      <c r="J1299" s="1290"/>
      <c r="K1299" s="1290"/>
      <c r="L1299" s="1290"/>
      <c r="M1299" s="1290"/>
      <c r="N1299" s="1290"/>
      <c r="O1299" s="1290"/>
      <c r="P1299" s="1290"/>
    </row>
    <row r="1300" spans="1:16" s="1335" customFormat="1">
      <c r="A1300" s="1334"/>
      <c r="B1300" s="1290"/>
      <c r="C1300" s="1290"/>
      <c r="G1300" s="1290"/>
      <c r="H1300" s="1290"/>
      <c r="I1300" s="1290"/>
      <c r="J1300" s="1290"/>
      <c r="K1300" s="1290"/>
      <c r="L1300" s="1290"/>
      <c r="M1300" s="1290"/>
      <c r="N1300" s="1290"/>
      <c r="O1300" s="1290"/>
      <c r="P1300" s="1290"/>
    </row>
    <row r="1301" spans="1:16" s="1335" customFormat="1">
      <c r="A1301" s="1334"/>
      <c r="B1301" s="1290"/>
      <c r="C1301" s="1290"/>
      <c r="G1301" s="1290"/>
      <c r="H1301" s="1290"/>
      <c r="I1301" s="1290"/>
      <c r="J1301" s="1290"/>
      <c r="K1301" s="1290"/>
      <c r="L1301" s="1290"/>
      <c r="M1301" s="1290"/>
      <c r="N1301" s="1290"/>
      <c r="O1301" s="1290"/>
      <c r="P1301" s="1290"/>
    </row>
    <row r="1302" spans="1:16" s="1335" customFormat="1">
      <c r="A1302" s="1334"/>
      <c r="B1302" s="1290"/>
      <c r="C1302" s="1290"/>
      <c r="G1302" s="1290"/>
      <c r="H1302" s="1290"/>
      <c r="I1302" s="1290"/>
      <c r="J1302" s="1290"/>
      <c r="K1302" s="1290"/>
      <c r="L1302" s="1290"/>
      <c r="M1302" s="1290"/>
      <c r="N1302" s="1290"/>
      <c r="O1302" s="1290"/>
      <c r="P1302" s="1290"/>
    </row>
    <row r="1303" spans="1:16" s="1335" customFormat="1">
      <c r="A1303" s="1334"/>
      <c r="B1303" s="1290"/>
      <c r="C1303" s="1290"/>
      <c r="G1303" s="1290"/>
      <c r="H1303" s="1290"/>
      <c r="I1303" s="1290"/>
      <c r="J1303" s="1290"/>
      <c r="K1303" s="1290"/>
      <c r="L1303" s="1290"/>
      <c r="M1303" s="1290"/>
      <c r="N1303" s="1290"/>
      <c r="O1303" s="1290"/>
      <c r="P1303" s="1290"/>
    </row>
    <row r="1304" spans="1:16" s="1335" customFormat="1">
      <c r="A1304" s="1334"/>
      <c r="B1304" s="1290"/>
      <c r="C1304" s="1290"/>
      <c r="G1304" s="1290"/>
      <c r="H1304" s="1290"/>
      <c r="I1304" s="1290"/>
      <c r="J1304" s="1290"/>
      <c r="K1304" s="1290"/>
      <c r="L1304" s="1290"/>
      <c r="M1304" s="1290"/>
      <c r="N1304" s="1290"/>
      <c r="O1304" s="1290"/>
      <c r="P1304" s="1290"/>
    </row>
    <row r="1305" spans="1:16" s="1335" customFormat="1">
      <c r="A1305" s="1334"/>
      <c r="B1305" s="1290"/>
      <c r="C1305" s="1290"/>
      <c r="G1305" s="1290"/>
      <c r="H1305" s="1290"/>
      <c r="I1305" s="1290"/>
      <c r="J1305" s="1290"/>
      <c r="K1305" s="1290"/>
      <c r="L1305" s="1290"/>
      <c r="M1305" s="1290"/>
      <c r="N1305" s="1290"/>
      <c r="O1305" s="1290"/>
      <c r="P1305" s="1290"/>
    </row>
    <row r="1306" spans="1:16" s="1335" customFormat="1">
      <c r="A1306" s="1334"/>
      <c r="B1306" s="1290"/>
      <c r="C1306" s="1290"/>
      <c r="G1306" s="1290"/>
      <c r="H1306" s="1290"/>
      <c r="I1306" s="1290"/>
      <c r="J1306" s="1290"/>
      <c r="K1306" s="1290"/>
      <c r="L1306" s="1290"/>
      <c r="M1306" s="1290"/>
      <c r="N1306" s="1290"/>
      <c r="O1306" s="1290"/>
      <c r="P1306" s="1290"/>
    </row>
    <row r="1307" spans="1:16" s="1335" customFormat="1">
      <c r="A1307" s="1334"/>
      <c r="B1307" s="1290"/>
      <c r="C1307" s="1290"/>
      <c r="G1307" s="1290"/>
      <c r="H1307" s="1290"/>
      <c r="I1307" s="1290"/>
      <c r="J1307" s="1290"/>
      <c r="K1307" s="1290"/>
      <c r="L1307" s="1290"/>
      <c r="M1307" s="1290"/>
      <c r="N1307" s="1290"/>
      <c r="O1307" s="1290"/>
      <c r="P1307" s="1290"/>
    </row>
    <row r="1308" spans="1:16" s="1335" customFormat="1">
      <c r="A1308" s="1334"/>
      <c r="B1308" s="1290"/>
      <c r="C1308" s="1290"/>
      <c r="G1308" s="1290"/>
      <c r="H1308" s="1290"/>
      <c r="I1308" s="1290"/>
      <c r="J1308" s="1290"/>
      <c r="K1308" s="1290"/>
      <c r="L1308" s="1290"/>
      <c r="M1308" s="1290"/>
      <c r="N1308" s="1290"/>
      <c r="O1308" s="1290"/>
      <c r="P1308" s="1290"/>
    </row>
    <row r="1309" spans="1:16" s="1335" customFormat="1">
      <c r="A1309" s="1334"/>
      <c r="B1309" s="1290"/>
      <c r="C1309" s="1290"/>
      <c r="G1309" s="1290"/>
      <c r="H1309" s="1290"/>
      <c r="I1309" s="1290"/>
      <c r="J1309" s="1290"/>
      <c r="K1309" s="1290"/>
      <c r="L1309" s="1290"/>
      <c r="M1309" s="1290"/>
      <c r="N1309" s="1290"/>
      <c r="O1309" s="1290"/>
      <c r="P1309" s="1290"/>
    </row>
    <row r="1310" spans="1:16" s="1335" customFormat="1">
      <c r="A1310" s="1334"/>
      <c r="B1310" s="1290"/>
      <c r="C1310" s="1290"/>
      <c r="G1310" s="1290"/>
      <c r="H1310" s="1290"/>
      <c r="I1310" s="1290"/>
      <c r="J1310" s="1290"/>
      <c r="K1310" s="1290"/>
      <c r="L1310" s="1290"/>
      <c r="M1310" s="1290"/>
      <c r="N1310" s="1290"/>
      <c r="O1310" s="1290"/>
      <c r="P1310" s="1290"/>
    </row>
    <row r="1311" spans="1:16" s="1335" customFormat="1">
      <c r="A1311" s="1334"/>
      <c r="B1311" s="1290"/>
      <c r="C1311" s="1290"/>
      <c r="G1311" s="1290"/>
      <c r="H1311" s="1290"/>
      <c r="I1311" s="1290"/>
      <c r="J1311" s="1290"/>
      <c r="K1311" s="1290"/>
      <c r="L1311" s="1290"/>
      <c r="M1311" s="1290"/>
      <c r="N1311" s="1290"/>
      <c r="O1311" s="1290"/>
      <c r="P1311" s="1290"/>
    </row>
    <row r="1312" spans="1:16" s="1335" customFormat="1">
      <c r="A1312" s="1334"/>
      <c r="B1312" s="1290"/>
      <c r="C1312" s="1290"/>
      <c r="G1312" s="1290"/>
      <c r="H1312" s="1290"/>
      <c r="I1312" s="1290"/>
      <c r="J1312" s="1290"/>
      <c r="K1312" s="1290"/>
      <c r="L1312" s="1290"/>
      <c r="M1312" s="1290"/>
      <c r="N1312" s="1290"/>
      <c r="O1312" s="1290"/>
      <c r="P1312" s="1290"/>
    </row>
    <row r="1313" spans="1:16" s="1335" customFormat="1">
      <c r="A1313" s="1334"/>
      <c r="B1313" s="1290"/>
      <c r="C1313" s="1290"/>
      <c r="G1313" s="1290"/>
      <c r="H1313" s="1290"/>
      <c r="I1313" s="1290"/>
      <c r="J1313" s="1290"/>
      <c r="K1313" s="1290"/>
      <c r="L1313" s="1290"/>
      <c r="M1313" s="1290"/>
      <c r="N1313" s="1290"/>
      <c r="O1313" s="1290"/>
      <c r="P1313" s="1290"/>
    </row>
    <row r="1314" spans="1:16" s="1335" customFormat="1">
      <c r="A1314" s="1334"/>
      <c r="B1314" s="1290"/>
      <c r="C1314" s="1290"/>
      <c r="G1314" s="1290"/>
      <c r="H1314" s="1290"/>
      <c r="I1314" s="1290"/>
      <c r="J1314" s="1290"/>
      <c r="K1314" s="1290"/>
      <c r="L1314" s="1290"/>
      <c r="M1314" s="1290"/>
      <c r="N1314" s="1290"/>
      <c r="O1314" s="1290"/>
      <c r="P1314" s="1290"/>
    </row>
    <row r="1315" spans="1:16" s="1335" customFormat="1">
      <c r="A1315" s="1334"/>
      <c r="B1315" s="1290"/>
      <c r="C1315" s="1290"/>
      <c r="G1315" s="1290"/>
      <c r="H1315" s="1290"/>
      <c r="I1315" s="1290"/>
      <c r="J1315" s="1290"/>
      <c r="K1315" s="1290"/>
      <c r="L1315" s="1290"/>
      <c r="M1315" s="1290"/>
      <c r="N1315" s="1290"/>
      <c r="O1315" s="1290"/>
      <c r="P1315" s="1290"/>
    </row>
    <row r="1316" spans="1:16" s="1335" customFormat="1">
      <c r="A1316" s="1334"/>
      <c r="B1316" s="1290"/>
      <c r="C1316" s="1290"/>
      <c r="G1316" s="1290"/>
      <c r="H1316" s="1290"/>
      <c r="I1316" s="1290"/>
      <c r="J1316" s="1290"/>
      <c r="K1316" s="1290"/>
      <c r="L1316" s="1290"/>
      <c r="M1316" s="1290"/>
      <c r="N1316" s="1290"/>
      <c r="O1316" s="1290"/>
      <c r="P1316" s="1290"/>
    </row>
    <row r="1317" spans="1:16" s="1335" customFormat="1">
      <c r="A1317" s="1334"/>
      <c r="B1317" s="1290"/>
      <c r="C1317" s="1290"/>
      <c r="G1317" s="1290"/>
      <c r="H1317" s="1290"/>
      <c r="I1317" s="1290"/>
      <c r="J1317" s="1290"/>
      <c r="K1317" s="1290"/>
      <c r="L1317" s="1290"/>
      <c r="M1317" s="1290"/>
      <c r="N1317" s="1290"/>
      <c r="O1317" s="1290"/>
      <c r="P1317" s="1290"/>
    </row>
    <row r="1318" spans="1:16" s="1335" customFormat="1">
      <c r="A1318" s="1334"/>
      <c r="B1318" s="1290"/>
      <c r="C1318" s="1290"/>
      <c r="G1318" s="1290"/>
      <c r="H1318" s="1290"/>
      <c r="I1318" s="1290"/>
      <c r="J1318" s="1290"/>
      <c r="K1318" s="1290"/>
      <c r="L1318" s="1290"/>
      <c r="M1318" s="1290"/>
      <c r="N1318" s="1290"/>
      <c r="O1318" s="1290"/>
      <c r="P1318" s="1290"/>
    </row>
    <row r="1319" spans="1:16" s="1335" customFormat="1">
      <c r="A1319" s="1334"/>
      <c r="B1319" s="1290"/>
      <c r="C1319" s="1290"/>
      <c r="G1319" s="1290"/>
      <c r="H1319" s="1290"/>
      <c r="I1319" s="1290"/>
      <c r="J1319" s="1290"/>
      <c r="K1319" s="1290"/>
      <c r="L1319" s="1290"/>
      <c r="M1319" s="1290"/>
      <c r="N1319" s="1290"/>
      <c r="O1319" s="1290"/>
      <c r="P1319" s="1290"/>
    </row>
    <row r="1320" spans="1:16" s="1335" customFormat="1">
      <c r="A1320" s="1334"/>
      <c r="B1320" s="1290"/>
      <c r="C1320" s="1290"/>
      <c r="G1320" s="1290"/>
      <c r="H1320" s="1290"/>
      <c r="I1320" s="1290"/>
      <c r="J1320" s="1290"/>
      <c r="K1320" s="1290"/>
      <c r="L1320" s="1290"/>
      <c r="M1320" s="1290"/>
      <c r="N1320" s="1290"/>
      <c r="O1320" s="1290"/>
      <c r="P1320" s="1290"/>
    </row>
    <row r="1321" spans="1:16" s="1335" customFormat="1">
      <c r="A1321" s="1334"/>
      <c r="B1321" s="1290"/>
      <c r="C1321" s="1290"/>
      <c r="G1321" s="1290"/>
      <c r="H1321" s="1290"/>
      <c r="I1321" s="1290"/>
      <c r="J1321" s="1290"/>
      <c r="K1321" s="1290"/>
      <c r="L1321" s="1290"/>
      <c r="M1321" s="1290"/>
      <c r="N1321" s="1290"/>
      <c r="O1321" s="1290"/>
      <c r="P1321" s="1290"/>
    </row>
    <row r="1322" spans="1:16" s="1335" customFormat="1">
      <c r="A1322" s="1334"/>
      <c r="B1322" s="1290"/>
      <c r="C1322" s="1290"/>
      <c r="G1322" s="1290"/>
      <c r="H1322" s="1290"/>
      <c r="I1322" s="1290"/>
      <c r="J1322" s="1290"/>
      <c r="K1322" s="1290"/>
      <c r="L1322" s="1290"/>
      <c r="M1322" s="1290"/>
      <c r="N1322" s="1290"/>
      <c r="O1322" s="1290"/>
      <c r="P1322" s="1290"/>
    </row>
    <row r="1323" spans="1:16" s="1335" customFormat="1">
      <c r="A1323" s="1334"/>
      <c r="B1323" s="1290"/>
      <c r="C1323" s="1290"/>
      <c r="G1323" s="1290"/>
      <c r="H1323" s="1290"/>
      <c r="I1323" s="1290"/>
      <c r="J1323" s="1290"/>
      <c r="K1323" s="1290"/>
      <c r="L1323" s="1290"/>
      <c r="M1323" s="1290"/>
      <c r="N1323" s="1290"/>
      <c r="O1323" s="1290"/>
      <c r="P1323" s="1290"/>
    </row>
    <row r="1324" spans="1:16" s="1335" customFormat="1">
      <c r="A1324" s="1334"/>
      <c r="B1324" s="1290"/>
      <c r="C1324" s="1290"/>
      <c r="G1324" s="1290"/>
      <c r="H1324" s="1290"/>
      <c r="I1324" s="1290"/>
      <c r="J1324" s="1290"/>
      <c r="K1324" s="1290"/>
      <c r="L1324" s="1290"/>
      <c r="M1324" s="1290"/>
      <c r="N1324" s="1290"/>
      <c r="O1324" s="1290"/>
      <c r="P1324" s="1290"/>
    </row>
    <row r="1325" spans="1:16" s="1335" customFormat="1">
      <c r="A1325" s="1334"/>
      <c r="B1325" s="1290"/>
      <c r="C1325" s="1290"/>
      <c r="G1325" s="1290"/>
      <c r="H1325" s="1290"/>
      <c r="I1325" s="1290"/>
      <c r="J1325" s="1290"/>
      <c r="K1325" s="1290"/>
      <c r="L1325" s="1290"/>
      <c r="M1325" s="1290"/>
      <c r="N1325" s="1290"/>
      <c r="O1325" s="1290"/>
      <c r="P1325" s="1290"/>
    </row>
    <row r="1326" spans="1:16" s="1335" customFormat="1">
      <c r="A1326" s="1334"/>
      <c r="B1326" s="1290"/>
      <c r="C1326" s="1290"/>
      <c r="G1326" s="1290"/>
      <c r="H1326" s="1290"/>
      <c r="I1326" s="1290"/>
      <c r="J1326" s="1290"/>
      <c r="K1326" s="1290"/>
      <c r="L1326" s="1290"/>
      <c r="M1326" s="1290"/>
      <c r="N1326" s="1290"/>
      <c r="O1326" s="1290"/>
      <c r="P1326" s="1290"/>
    </row>
    <row r="1327" spans="1:16" s="1335" customFormat="1">
      <c r="A1327" s="1334"/>
      <c r="B1327" s="1290"/>
      <c r="C1327" s="1290"/>
      <c r="G1327" s="1290"/>
      <c r="H1327" s="1290"/>
      <c r="I1327" s="1290"/>
      <c r="J1327" s="1290"/>
      <c r="K1327" s="1290"/>
      <c r="L1327" s="1290"/>
      <c r="M1327" s="1290"/>
      <c r="N1327" s="1290"/>
      <c r="O1327" s="1290"/>
      <c r="P1327" s="1290"/>
    </row>
    <row r="1328" spans="1:16" s="1335" customFormat="1">
      <c r="A1328" s="1334"/>
      <c r="B1328" s="1290"/>
      <c r="C1328" s="1290"/>
      <c r="G1328" s="1290"/>
      <c r="H1328" s="1290"/>
      <c r="I1328" s="1290"/>
      <c r="J1328" s="1290"/>
      <c r="K1328" s="1290"/>
      <c r="L1328" s="1290"/>
      <c r="M1328" s="1290"/>
      <c r="N1328" s="1290"/>
      <c r="O1328" s="1290"/>
      <c r="P1328" s="1290"/>
    </row>
    <row r="1329" spans="1:16" s="1335" customFormat="1">
      <c r="A1329" s="1334"/>
      <c r="B1329" s="1290"/>
      <c r="C1329" s="1290"/>
      <c r="G1329" s="1290"/>
      <c r="H1329" s="1290"/>
      <c r="I1329" s="1290"/>
      <c r="J1329" s="1290"/>
      <c r="K1329" s="1290"/>
      <c r="L1329" s="1290"/>
      <c r="M1329" s="1290"/>
      <c r="N1329" s="1290"/>
      <c r="O1329" s="1290"/>
      <c r="P1329" s="1290"/>
    </row>
    <row r="1330" spans="1:16" s="1335" customFormat="1">
      <c r="A1330" s="1334"/>
      <c r="B1330" s="1290"/>
      <c r="C1330" s="1290"/>
      <c r="G1330" s="1290"/>
      <c r="H1330" s="1290"/>
      <c r="I1330" s="1290"/>
      <c r="J1330" s="1290"/>
      <c r="K1330" s="1290"/>
      <c r="L1330" s="1290"/>
      <c r="M1330" s="1290"/>
      <c r="N1330" s="1290"/>
      <c r="O1330" s="1290"/>
      <c r="P1330" s="1290"/>
    </row>
    <row r="1331" spans="1:16" s="1335" customFormat="1">
      <c r="A1331" s="1334"/>
      <c r="B1331" s="1290"/>
      <c r="C1331" s="1290"/>
      <c r="G1331" s="1290"/>
      <c r="H1331" s="1290"/>
      <c r="I1331" s="1290"/>
      <c r="J1331" s="1290"/>
      <c r="K1331" s="1290"/>
      <c r="L1331" s="1290"/>
      <c r="M1331" s="1290"/>
      <c r="N1331" s="1290"/>
      <c r="O1331" s="1290"/>
      <c r="P1331" s="1290"/>
    </row>
    <row r="1332" spans="1:16" s="1335" customFormat="1">
      <c r="A1332" s="1334"/>
      <c r="B1332" s="1290"/>
      <c r="C1332" s="1290"/>
      <c r="G1332" s="1290"/>
      <c r="H1332" s="1290"/>
      <c r="I1332" s="1290"/>
      <c r="J1332" s="1290"/>
      <c r="K1332" s="1290"/>
      <c r="L1332" s="1290"/>
      <c r="M1332" s="1290"/>
      <c r="N1332" s="1290"/>
      <c r="O1332" s="1290"/>
      <c r="P1332" s="1290"/>
    </row>
    <row r="1333" spans="1:16" s="1335" customFormat="1">
      <c r="A1333" s="1334"/>
      <c r="B1333" s="1290"/>
      <c r="C1333" s="1290"/>
      <c r="G1333" s="1290"/>
      <c r="H1333" s="1290"/>
      <c r="I1333" s="1290"/>
      <c r="J1333" s="1290"/>
      <c r="K1333" s="1290"/>
      <c r="L1333" s="1290"/>
      <c r="M1333" s="1290"/>
      <c r="N1333" s="1290"/>
      <c r="O1333" s="1290"/>
      <c r="P1333" s="1290"/>
    </row>
    <row r="1334" spans="1:16" s="1335" customFormat="1">
      <c r="A1334" s="1334"/>
      <c r="B1334" s="1290"/>
      <c r="C1334" s="1290"/>
      <c r="G1334" s="1290"/>
      <c r="H1334" s="1290"/>
      <c r="I1334" s="1290"/>
      <c r="J1334" s="1290"/>
      <c r="K1334" s="1290"/>
      <c r="L1334" s="1290"/>
      <c r="M1334" s="1290"/>
      <c r="N1334" s="1290"/>
      <c r="O1334" s="1290"/>
      <c r="P1334" s="1290"/>
    </row>
    <row r="1335" spans="1:16" s="1335" customFormat="1">
      <c r="A1335" s="1334"/>
      <c r="B1335" s="1290"/>
      <c r="C1335" s="1290"/>
      <c r="G1335" s="1290"/>
      <c r="H1335" s="1290"/>
      <c r="I1335" s="1290"/>
      <c r="J1335" s="1290"/>
      <c r="K1335" s="1290"/>
      <c r="L1335" s="1290"/>
      <c r="M1335" s="1290"/>
      <c r="N1335" s="1290"/>
      <c r="O1335" s="1290"/>
      <c r="P1335" s="1290"/>
    </row>
    <row r="1336" spans="1:16" s="1335" customFormat="1">
      <c r="A1336" s="1334"/>
      <c r="B1336" s="1290"/>
      <c r="C1336" s="1290"/>
      <c r="G1336" s="1290"/>
      <c r="H1336" s="1290"/>
      <c r="I1336" s="1290"/>
      <c r="J1336" s="1290"/>
      <c r="K1336" s="1290"/>
      <c r="L1336" s="1290"/>
      <c r="M1336" s="1290"/>
      <c r="N1336" s="1290"/>
      <c r="O1336" s="1290"/>
      <c r="P1336" s="1290"/>
    </row>
    <row r="1337" spans="1:16" s="1335" customFormat="1">
      <c r="A1337" s="1334"/>
      <c r="B1337" s="1290"/>
      <c r="C1337" s="1290"/>
      <c r="G1337" s="1290"/>
      <c r="H1337" s="1290"/>
      <c r="I1337" s="1290"/>
      <c r="J1337" s="1290"/>
      <c r="K1337" s="1290"/>
      <c r="L1337" s="1290"/>
      <c r="M1337" s="1290"/>
      <c r="N1337" s="1290"/>
      <c r="O1337" s="1290"/>
      <c r="P1337" s="1290"/>
    </row>
    <row r="1338" spans="1:16" s="1335" customFormat="1">
      <c r="A1338" s="1334"/>
      <c r="B1338" s="1290"/>
      <c r="C1338" s="1290"/>
      <c r="G1338" s="1290"/>
      <c r="H1338" s="1290"/>
      <c r="I1338" s="1290"/>
      <c r="J1338" s="1290"/>
      <c r="K1338" s="1290"/>
      <c r="L1338" s="1290"/>
      <c r="M1338" s="1290"/>
      <c r="N1338" s="1290"/>
      <c r="O1338" s="1290"/>
      <c r="P1338" s="1290"/>
    </row>
    <row r="1339" spans="1:16" s="1335" customFormat="1">
      <c r="A1339" s="1334"/>
      <c r="B1339" s="1290"/>
      <c r="C1339" s="1290"/>
      <c r="G1339" s="1290"/>
      <c r="H1339" s="1290"/>
      <c r="I1339" s="1290"/>
      <c r="J1339" s="1290"/>
      <c r="K1339" s="1290"/>
      <c r="L1339" s="1290"/>
      <c r="M1339" s="1290"/>
      <c r="N1339" s="1290"/>
      <c r="O1339" s="1290"/>
      <c r="P1339" s="1290"/>
    </row>
    <row r="1340" spans="1:16" s="1335" customFormat="1">
      <c r="A1340" s="1334"/>
      <c r="B1340" s="1290"/>
      <c r="C1340" s="1290"/>
      <c r="G1340" s="1290"/>
      <c r="H1340" s="1290"/>
      <c r="I1340" s="1290"/>
      <c r="J1340" s="1290"/>
      <c r="K1340" s="1290"/>
      <c r="L1340" s="1290"/>
      <c r="M1340" s="1290"/>
      <c r="N1340" s="1290"/>
      <c r="O1340" s="1290"/>
      <c r="P1340" s="1290"/>
    </row>
    <row r="1341" spans="1:16" s="1335" customFormat="1">
      <c r="A1341" s="1334"/>
      <c r="B1341" s="1290"/>
      <c r="C1341" s="1290"/>
      <c r="G1341" s="1290"/>
      <c r="H1341" s="1290"/>
      <c r="I1341" s="1290"/>
      <c r="J1341" s="1290"/>
      <c r="K1341" s="1290"/>
      <c r="L1341" s="1290"/>
      <c r="M1341" s="1290"/>
      <c r="N1341" s="1290"/>
      <c r="O1341" s="1290"/>
      <c r="P1341" s="1290"/>
    </row>
    <row r="1342" spans="1:16" s="1335" customFormat="1">
      <c r="A1342" s="1334"/>
      <c r="B1342" s="1290"/>
      <c r="C1342" s="1290"/>
      <c r="G1342" s="1290"/>
      <c r="H1342" s="1290"/>
      <c r="I1342" s="1290"/>
      <c r="J1342" s="1290"/>
      <c r="K1342" s="1290"/>
      <c r="L1342" s="1290"/>
      <c r="M1342" s="1290"/>
      <c r="N1342" s="1290"/>
      <c r="O1342" s="1290"/>
      <c r="P1342" s="1290"/>
    </row>
    <row r="1343" spans="1:16" s="1335" customFormat="1">
      <c r="A1343" s="1334"/>
      <c r="B1343" s="1290"/>
      <c r="C1343" s="1290"/>
      <c r="G1343" s="1290"/>
      <c r="H1343" s="1290"/>
      <c r="I1343" s="1290"/>
      <c r="J1343" s="1290"/>
      <c r="K1343" s="1290"/>
      <c r="L1343" s="1290"/>
      <c r="M1343" s="1290"/>
      <c r="N1343" s="1290"/>
      <c r="O1343" s="1290"/>
      <c r="P1343" s="1290"/>
    </row>
    <row r="1344" spans="1:16" s="1335" customFormat="1">
      <c r="A1344" s="1334"/>
      <c r="B1344" s="1290"/>
      <c r="C1344" s="1290"/>
      <c r="G1344" s="1290"/>
      <c r="H1344" s="1290"/>
      <c r="I1344" s="1290"/>
      <c r="J1344" s="1290"/>
      <c r="K1344" s="1290"/>
      <c r="L1344" s="1290"/>
      <c r="M1344" s="1290"/>
      <c r="N1344" s="1290"/>
      <c r="O1344" s="1290"/>
      <c r="P1344" s="1290"/>
    </row>
    <row r="1345" spans="1:16" s="1335" customFormat="1">
      <c r="A1345" s="1334"/>
      <c r="B1345" s="1290"/>
      <c r="C1345" s="1290"/>
      <c r="G1345" s="1290"/>
      <c r="H1345" s="1290"/>
      <c r="I1345" s="1290"/>
      <c r="J1345" s="1290"/>
      <c r="K1345" s="1290"/>
      <c r="L1345" s="1290"/>
      <c r="M1345" s="1290"/>
      <c r="N1345" s="1290"/>
      <c r="O1345" s="1290"/>
      <c r="P1345" s="1290"/>
    </row>
    <row r="1346" spans="1:16" s="1335" customFormat="1">
      <c r="A1346" s="1334"/>
      <c r="B1346" s="1290"/>
      <c r="C1346" s="1290"/>
      <c r="G1346" s="1290"/>
      <c r="H1346" s="1290"/>
      <c r="I1346" s="1290"/>
      <c r="J1346" s="1290"/>
      <c r="K1346" s="1290"/>
      <c r="L1346" s="1290"/>
      <c r="M1346" s="1290"/>
      <c r="N1346" s="1290"/>
      <c r="O1346" s="1290"/>
      <c r="P1346" s="1290"/>
    </row>
    <row r="1347" spans="1:16" s="1335" customFormat="1">
      <c r="A1347" s="1334"/>
      <c r="B1347" s="1290"/>
      <c r="C1347" s="1290"/>
      <c r="G1347" s="1290"/>
      <c r="H1347" s="1290"/>
      <c r="I1347" s="1290"/>
      <c r="J1347" s="1290"/>
      <c r="K1347" s="1290"/>
      <c r="L1347" s="1290"/>
      <c r="M1347" s="1290"/>
      <c r="N1347" s="1290"/>
      <c r="O1347" s="1290"/>
      <c r="P1347" s="1290"/>
    </row>
    <row r="1348" spans="1:16" s="1335" customFormat="1">
      <c r="A1348" s="1334"/>
      <c r="B1348" s="1290"/>
      <c r="C1348" s="1290"/>
      <c r="G1348" s="1290"/>
      <c r="H1348" s="1290"/>
      <c r="I1348" s="1290"/>
      <c r="J1348" s="1290"/>
      <c r="K1348" s="1290"/>
      <c r="L1348" s="1290"/>
      <c r="M1348" s="1290"/>
      <c r="N1348" s="1290"/>
      <c r="O1348" s="1290"/>
      <c r="P1348" s="1290"/>
    </row>
    <row r="1349" spans="1:16" s="1335" customFormat="1">
      <c r="A1349" s="1334"/>
      <c r="B1349" s="1290"/>
      <c r="C1349" s="1290"/>
      <c r="G1349" s="1290"/>
      <c r="H1349" s="1290"/>
      <c r="I1349" s="1290"/>
      <c r="J1349" s="1290"/>
      <c r="K1349" s="1290"/>
      <c r="L1349" s="1290"/>
      <c r="M1349" s="1290"/>
      <c r="N1349" s="1290"/>
      <c r="O1349" s="1290"/>
      <c r="P1349" s="1290"/>
    </row>
    <row r="1350" spans="1:16" s="1335" customFormat="1">
      <c r="A1350" s="1334"/>
      <c r="B1350" s="1290"/>
      <c r="C1350" s="1290"/>
      <c r="G1350" s="1290"/>
      <c r="H1350" s="1290"/>
      <c r="I1350" s="1290"/>
      <c r="J1350" s="1290"/>
      <c r="K1350" s="1290"/>
      <c r="L1350" s="1290"/>
      <c r="M1350" s="1290"/>
      <c r="N1350" s="1290"/>
      <c r="O1350" s="1290"/>
      <c r="P1350" s="1290"/>
    </row>
    <row r="1351" spans="1:16" s="1335" customFormat="1">
      <c r="A1351" s="1334"/>
      <c r="B1351" s="1290"/>
      <c r="C1351" s="1290"/>
      <c r="G1351" s="1290"/>
      <c r="H1351" s="1290"/>
      <c r="I1351" s="1290"/>
      <c r="J1351" s="1290"/>
      <c r="K1351" s="1290"/>
      <c r="L1351" s="1290"/>
      <c r="M1351" s="1290"/>
      <c r="N1351" s="1290"/>
      <c r="O1351" s="1290"/>
      <c r="P1351" s="1290"/>
    </row>
    <row r="1352" spans="1:16" s="1335" customFormat="1">
      <c r="A1352" s="1334"/>
      <c r="B1352" s="1290"/>
      <c r="C1352" s="1290"/>
      <c r="G1352" s="1290"/>
      <c r="H1352" s="1290"/>
      <c r="I1352" s="1290"/>
      <c r="J1352" s="1290"/>
      <c r="K1352" s="1290"/>
      <c r="L1352" s="1290"/>
      <c r="M1352" s="1290"/>
      <c r="N1352" s="1290"/>
      <c r="O1352" s="1290"/>
      <c r="P1352" s="1290"/>
    </row>
    <row r="1353" spans="1:16" s="1335" customFormat="1">
      <c r="A1353" s="1334"/>
      <c r="B1353" s="1290"/>
      <c r="C1353" s="1290"/>
      <c r="G1353" s="1290"/>
      <c r="H1353" s="1290"/>
      <c r="I1353" s="1290"/>
      <c r="J1353" s="1290"/>
      <c r="K1353" s="1290"/>
      <c r="L1353" s="1290"/>
      <c r="M1353" s="1290"/>
      <c r="N1353" s="1290"/>
      <c r="O1353" s="1290"/>
      <c r="P1353" s="1290"/>
    </row>
    <row r="1354" spans="1:16" s="1335" customFormat="1">
      <c r="A1354" s="1334"/>
      <c r="B1354" s="1290"/>
      <c r="C1354" s="1290"/>
      <c r="G1354" s="1290"/>
      <c r="H1354" s="1290"/>
      <c r="I1354" s="1290"/>
      <c r="J1354" s="1290"/>
      <c r="K1354" s="1290"/>
      <c r="L1354" s="1290"/>
      <c r="M1354" s="1290"/>
      <c r="N1354" s="1290"/>
      <c r="O1354" s="1290"/>
      <c r="P1354" s="1290"/>
    </row>
    <row r="1355" spans="1:16" s="1335" customFormat="1">
      <c r="A1355" s="1334"/>
      <c r="B1355" s="1290"/>
      <c r="C1355" s="1290"/>
      <c r="G1355" s="1290"/>
      <c r="H1355" s="1290"/>
      <c r="I1355" s="1290"/>
      <c r="J1355" s="1290"/>
      <c r="K1355" s="1290"/>
      <c r="L1355" s="1290"/>
      <c r="M1355" s="1290"/>
      <c r="N1355" s="1290"/>
      <c r="O1355" s="1290"/>
      <c r="P1355" s="1290"/>
    </row>
    <row r="1356" spans="1:16" s="1335" customFormat="1">
      <c r="A1356" s="1334"/>
      <c r="B1356" s="1290"/>
      <c r="C1356" s="1290"/>
      <c r="G1356" s="1290"/>
      <c r="H1356" s="1290"/>
      <c r="I1356" s="1290"/>
      <c r="J1356" s="1290"/>
      <c r="K1356" s="1290"/>
      <c r="L1356" s="1290"/>
      <c r="M1356" s="1290"/>
      <c r="N1356" s="1290"/>
      <c r="O1356" s="1290"/>
      <c r="P1356" s="1290"/>
    </row>
    <row r="1357" spans="1:16" s="1335" customFormat="1">
      <c r="A1357" s="1334"/>
      <c r="B1357" s="1290"/>
      <c r="C1357" s="1290"/>
      <c r="G1357" s="1290"/>
      <c r="H1357" s="1290"/>
      <c r="I1357" s="1290"/>
      <c r="J1357" s="1290"/>
      <c r="K1357" s="1290"/>
      <c r="L1357" s="1290"/>
      <c r="M1357" s="1290"/>
      <c r="N1357" s="1290"/>
      <c r="O1357" s="1290"/>
      <c r="P1357" s="1290"/>
    </row>
    <row r="1358" spans="1:16" s="1335" customFormat="1">
      <c r="A1358" s="1334"/>
      <c r="B1358" s="1290"/>
      <c r="C1358" s="1290"/>
      <c r="G1358" s="1290"/>
      <c r="H1358" s="1290"/>
      <c r="I1358" s="1290"/>
      <c r="J1358" s="1290"/>
      <c r="K1358" s="1290"/>
      <c r="L1358" s="1290"/>
      <c r="M1358" s="1290"/>
      <c r="N1358" s="1290"/>
      <c r="O1358" s="1290"/>
      <c r="P1358" s="1290"/>
    </row>
    <row r="1359" spans="1:16" s="1335" customFormat="1">
      <c r="A1359" s="1334"/>
      <c r="B1359" s="1290"/>
      <c r="C1359" s="1290"/>
      <c r="G1359" s="1290"/>
      <c r="H1359" s="1290"/>
      <c r="I1359" s="1290"/>
      <c r="J1359" s="1290"/>
      <c r="K1359" s="1290"/>
      <c r="L1359" s="1290"/>
      <c r="M1359" s="1290"/>
      <c r="N1359" s="1290"/>
      <c r="O1359" s="1290"/>
      <c r="P1359" s="1290"/>
    </row>
    <row r="1360" spans="1:16" s="1335" customFormat="1">
      <c r="A1360" s="1334"/>
      <c r="B1360" s="1290"/>
      <c r="C1360" s="1290"/>
      <c r="G1360" s="1290"/>
      <c r="H1360" s="1290"/>
      <c r="I1360" s="1290"/>
      <c r="J1360" s="1290"/>
      <c r="K1360" s="1290"/>
      <c r="L1360" s="1290"/>
      <c r="M1360" s="1290"/>
      <c r="N1360" s="1290"/>
      <c r="O1360" s="1290"/>
      <c r="P1360" s="1290"/>
    </row>
    <row r="1361" spans="1:16" s="1335" customFormat="1">
      <c r="A1361" s="1334"/>
      <c r="B1361" s="1290"/>
      <c r="C1361" s="1290"/>
      <c r="G1361" s="1290"/>
      <c r="H1361" s="1290"/>
      <c r="I1361" s="1290"/>
      <c r="J1361" s="1290"/>
      <c r="K1361" s="1290"/>
      <c r="L1361" s="1290"/>
      <c r="M1361" s="1290"/>
      <c r="N1361" s="1290"/>
      <c r="O1361" s="1290"/>
      <c r="P1361" s="1290"/>
    </row>
    <row r="1362" spans="1:16" s="1335" customFormat="1">
      <c r="A1362" s="1334"/>
      <c r="B1362" s="1290"/>
      <c r="C1362" s="1290"/>
      <c r="G1362" s="1290"/>
      <c r="H1362" s="1290"/>
      <c r="I1362" s="1290"/>
      <c r="J1362" s="1290"/>
      <c r="K1362" s="1290"/>
      <c r="L1362" s="1290"/>
      <c r="M1362" s="1290"/>
      <c r="N1362" s="1290"/>
      <c r="O1362" s="1290"/>
      <c r="P1362" s="1290"/>
    </row>
    <row r="1363" spans="1:16" s="1335" customFormat="1">
      <c r="A1363" s="1334"/>
      <c r="B1363" s="1290"/>
      <c r="C1363" s="1290"/>
      <c r="G1363" s="1290"/>
      <c r="H1363" s="1290"/>
      <c r="I1363" s="1290"/>
      <c r="J1363" s="1290"/>
      <c r="K1363" s="1290"/>
      <c r="L1363" s="1290"/>
      <c r="M1363" s="1290"/>
      <c r="N1363" s="1290"/>
      <c r="O1363" s="1290"/>
      <c r="P1363" s="1290"/>
    </row>
    <row r="1364" spans="1:16" s="1335" customFormat="1">
      <c r="A1364" s="1334"/>
      <c r="B1364" s="1290"/>
      <c r="C1364" s="1290"/>
      <c r="G1364" s="1290"/>
      <c r="H1364" s="1290"/>
      <c r="I1364" s="1290"/>
      <c r="J1364" s="1290"/>
      <c r="K1364" s="1290"/>
      <c r="L1364" s="1290"/>
      <c r="M1364" s="1290"/>
      <c r="N1364" s="1290"/>
      <c r="O1364" s="1290"/>
      <c r="P1364" s="1290"/>
    </row>
    <row r="1365" spans="1:16" s="1335" customFormat="1">
      <c r="A1365" s="1334"/>
      <c r="B1365" s="1290"/>
      <c r="C1365" s="1290"/>
      <c r="G1365" s="1290"/>
      <c r="H1365" s="1290"/>
      <c r="I1365" s="1290"/>
      <c r="J1365" s="1290"/>
      <c r="K1365" s="1290"/>
      <c r="L1365" s="1290"/>
      <c r="M1365" s="1290"/>
      <c r="N1365" s="1290"/>
      <c r="O1365" s="1290"/>
      <c r="P1365" s="1290"/>
    </row>
    <row r="1366" spans="1:16" s="1335" customFormat="1">
      <c r="A1366" s="1334"/>
      <c r="B1366" s="1290"/>
      <c r="C1366" s="1290"/>
      <c r="G1366" s="1290"/>
      <c r="H1366" s="1290"/>
      <c r="I1366" s="1290"/>
      <c r="J1366" s="1290"/>
      <c r="K1366" s="1290"/>
      <c r="L1366" s="1290"/>
      <c r="M1366" s="1290"/>
      <c r="N1366" s="1290"/>
      <c r="O1366" s="1290"/>
      <c r="P1366" s="1290"/>
    </row>
    <row r="1367" spans="1:16" s="1335" customFormat="1">
      <c r="A1367" s="1334"/>
      <c r="B1367" s="1290"/>
      <c r="C1367" s="1290"/>
      <c r="G1367" s="1290"/>
      <c r="H1367" s="1290"/>
      <c r="I1367" s="1290"/>
      <c r="J1367" s="1290"/>
      <c r="K1367" s="1290"/>
      <c r="L1367" s="1290"/>
      <c r="M1367" s="1290"/>
      <c r="N1367" s="1290"/>
      <c r="O1367" s="1290"/>
      <c r="P1367" s="1290"/>
    </row>
    <row r="1368" spans="1:16" s="1335" customFormat="1">
      <c r="A1368" s="1334"/>
      <c r="B1368" s="1290"/>
      <c r="C1368" s="1290"/>
      <c r="G1368" s="1290"/>
      <c r="H1368" s="1290"/>
      <c r="I1368" s="1290"/>
      <c r="J1368" s="1290"/>
      <c r="K1368" s="1290"/>
      <c r="L1368" s="1290"/>
      <c r="M1368" s="1290"/>
      <c r="N1368" s="1290"/>
      <c r="O1368" s="1290"/>
      <c r="P1368" s="1290"/>
    </row>
    <row r="1369" spans="1:16" s="1335" customFormat="1">
      <c r="A1369" s="1334"/>
      <c r="B1369" s="1290"/>
      <c r="C1369" s="1290"/>
      <c r="G1369" s="1290"/>
      <c r="H1369" s="1290"/>
      <c r="I1369" s="1290"/>
      <c r="J1369" s="1290"/>
      <c r="K1369" s="1290"/>
      <c r="L1369" s="1290"/>
      <c r="M1369" s="1290"/>
      <c r="N1369" s="1290"/>
      <c r="O1369" s="1290"/>
      <c r="P1369" s="1290"/>
    </row>
    <row r="1370" spans="1:16" s="1335" customFormat="1">
      <c r="A1370" s="1334"/>
      <c r="B1370" s="1290"/>
      <c r="C1370" s="1290"/>
      <c r="G1370" s="1290"/>
      <c r="H1370" s="1290"/>
      <c r="I1370" s="1290"/>
      <c r="J1370" s="1290"/>
      <c r="K1370" s="1290"/>
      <c r="L1370" s="1290"/>
      <c r="M1370" s="1290"/>
      <c r="N1370" s="1290"/>
      <c r="O1370" s="1290"/>
      <c r="P1370" s="1290"/>
    </row>
    <row r="1371" spans="1:16" s="1335" customFormat="1">
      <c r="A1371" s="1334"/>
      <c r="B1371" s="1290"/>
      <c r="C1371" s="1290"/>
      <c r="G1371" s="1290"/>
      <c r="H1371" s="1290"/>
      <c r="I1371" s="1290"/>
      <c r="J1371" s="1290"/>
      <c r="K1371" s="1290"/>
      <c r="L1371" s="1290"/>
      <c r="M1371" s="1290"/>
      <c r="N1371" s="1290"/>
      <c r="O1371" s="1290"/>
      <c r="P1371" s="1290"/>
    </row>
    <row r="1372" spans="1:16" s="1335" customFormat="1">
      <c r="A1372" s="1334"/>
      <c r="B1372" s="1290"/>
      <c r="C1372" s="1290"/>
      <c r="G1372" s="1290"/>
      <c r="H1372" s="1290"/>
      <c r="I1372" s="1290"/>
      <c r="J1372" s="1290"/>
      <c r="K1372" s="1290"/>
      <c r="L1372" s="1290"/>
      <c r="M1372" s="1290"/>
      <c r="N1372" s="1290"/>
      <c r="O1372" s="1290"/>
      <c r="P1372" s="1290"/>
    </row>
    <row r="1373" spans="1:16" s="1335" customFormat="1">
      <c r="A1373" s="1334"/>
      <c r="B1373" s="1290"/>
      <c r="C1373" s="1290"/>
      <c r="G1373" s="1290"/>
      <c r="H1373" s="1290"/>
      <c r="I1373" s="1290"/>
      <c r="J1373" s="1290"/>
      <c r="K1373" s="1290"/>
      <c r="L1373" s="1290"/>
      <c r="M1373" s="1290"/>
      <c r="N1373" s="1290"/>
      <c r="O1373" s="1290"/>
      <c r="P1373" s="1290"/>
    </row>
    <row r="1374" spans="1:16" s="1335" customFormat="1">
      <c r="A1374" s="1334"/>
      <c r="B1374" s="1290"/>
      <c r="C1374" s="1290"/>
      <c r="G1374" s="1290"/>
      <c r="H1374" s="1290"/>
      <c r="I1374" s="1290"/>
      <c r="J1374" s="1290"/>
      <c r="K1374" s="1290"/>
      <c r="L1374" s="1290"/>
      <c r="M1374" s="1290"/>
      <c r="N1374" s="1290"/>
      <c r="O1374" s="1290"/>
      <c r="P1374" s="1290"/>
    </row>
    <row r="1375" spans="1:16" s="1335" customFormat="1">
      <c r="A1375" s="1334"/>
      <c r="B1375" s="1290"/>
      <c r="C1375" s="1290"/>
      <c r="G1375" s="1290"/>
      <c r="H1375" s="1290"/>
      <c r="I1375" s="1290"/>
      <c r="J1375" s="1290"/>
      <c r="K1375" s="1290"/>
      <c r="L1375" s="1290"/>
      <c r="M1375" s="1290"/>
      <c r="N1375" s="1290"/>
      <c r="O1375" s="1290"/>
      <c r="P1375" s="1290"/>
    </row>
    <row r="1376" spans="1:16" s="1335" customFormat="1">
      <c r="A1376" s="1334"/>
      <c r="B1376" s="1290"/>
      <c r="C1376" s="1290"/>
      <c r="G1376" s="1290"/>
      <c r="H1376" s="1290"/>
      <c r="I1376" s="1290"/>
      <c r="J1376" s="1290"/>
      <c r="K1376" s="1290"/>
      <c r="L1376" s="1290"/>
      <c r="M1376" s="1290"/>
      <c r="N1376" s="1290"/>
      <c r="O1376" s="1290"/>
      <c r="P1376" s="1290"/>
    </row>
    <row r="1377" spans="1:16" s="1335" customFormat="1">
      <c r="A1377" s="1334"/>
      <c r="B1377" s="1290"/>
      <c r="C1377" s="1290"/>
      <c r="G1377" s="1290"/>
      <c r="H1377" s="1290"/>
      <c r="I1377" s="1290"/>
      <c r="J1377" s="1290"/>
      <c r="K1377" s="1290"/>
      <c r="L1377" s="1290"/>
      <c r="M1377" s="1290"/>
      <c r="N1377" s="1290"/>
      <c r="O1377" s="1290"/>
      <c r="P1377" s="1290"/>
    </row>
    <row r="1378" spans="1:16" s="1335" customFormat="1">
      <c r="A1378" s="1334"/>
      <c r="B1378" s="1290"/>
      <c r="C1378" s="1290"/>
      <c r="G1378" s="1290"/>
      <c r="H1378" s="1290"/>
      <c r="I1378" s="1290"/>
      <c r="J1378" s="1290"/>
      <c r="K1378" s="1290"/>
      <c r="L1378" s="1290"/>
      <c r="M1378" s="1290"/>
      <c r="N1378" s="1290"/>
      <c r="O1378" s="1290"/>
      <c r="P1378" s="1290"/>
    </row>
    <row r="1379" spans="1:16" s="1335" customFormat="1">
      <c r="A1379" s="1334"/>
      <c r="B1379" s="1290"/>
      <c r="C1379" s="1290"/>
      <c r="G1379" s="1290"/>
      <c r="H1379" s="1290"/>
      <c r="I1379" s="1290"/>
      <c r="J1379" s="1290"/>
      <c r="K1379" s="1290"/>
      <c r="L1379" s="1290"/>
      <c r="M1379" s="1290"/>
      <c r="N1379" s="1290"/>
      <c r="O1379" s="1290"/>
      <c r="P1379" s="1290"/>
    </row>
    <row r="1380" spans="1:16" s="1335" customFormat="1">
      <c r="A1380" s="1334"/>
      <c r="B1380" s="1290"/>
      <c r="C1380" s="1290"/>
      <c r="G1380" s="1290"/>
      <c r="H1380" s="1290"/>
      <c r="I1380" s="1290"/>
      <c r="J1380" s="1290"/>
      <c r="K1380" s="1290"/>
      <c r="L1380" s="1290"/>
      <c r="M1380" s="1290"/>
      <c r="N1380" s="1290"/>
      <c r="O1380" s="1290"/>
      <c r="P1380" s="1290"/>
    </row>
    <row r="1381" spans="1:16" s="1335" customFormat="1">
      <c r="A1381" s="1334"/>
      <c r="B1381" s="1290"/>
      <c r="C1381" s="1290"/>
      <c r="G1381" s="1290"/>
      <c r="H1381" s="1290"/>
      <c r="I1381" s="1290"/>
      <c r="J1381" s="1290"/>
      <c r="K1381" s="1290"/>
      <c r="L1381" s="1290"/>
      <c r="M1381" s="1290"/>
      <c r="N1381" s="1290"/>
      <c r="O1381" s="1290"/>
      <c r="P1381" s="1290"/>
    </row>
    <row r="1382" spans="1:16" s="1335" customFormat="1">
      <c r="A1382" s="1334"/>
      <c r="B1382" s="1290"/>
      <c r="C1382" s="1290"/>
      <c r="G1382" s="1290"/>
      <c r="H1382" s="1290"/>
      <c r="I1382" s="1290"/>
      <c r="J1382" s="1290"/>
      <c r="K1382" s="1290"/>
      <c r="L1382" s="1290"/>
      <c r="M1382" s="1290"/>
      <c r="N1382" s="1290"/>
      <c r="O1382" s="1290"/>
      <c r="P1382" s="1290"/>
    </row>
    <row r="1383" spans="1:16" s="1335" customFormat="1">
      <c r="A1383" s="1334"/>
      <c r="B1383" s="1290"/>
      <c r="C1383" s="1290"/>
      <c r="G1383" s="1290"/>
      <c r="H1383" s="1290"/>
      <c r="I1383" s="1290"/>
      <c r="J1383" s="1290"/>
      <c r="K1383" s="1290"/>
      <c r="L1383" s="1290"/>
      <c r="M1383" s="1290"/>
      <c r="N1383" s="1290"/>
      <c r="O1383" s="1290"/>
      <c r="P1383" s="1290"/>
    </row>
    <row r="1384" spans="1:16" s="1335" customFormat="1">
      <c r="A1384" s="1334"/>
      <c r="B1384" s="1290"/>
      <c r="C1384" s="1290"/>
      <c r="G1384" s="1290"/>
      <c r="H1384" s="1290"/>
      <c r="I1384" s="1290"/>
      <c r="J1384" s="1290"/>
      <c r="K1384" s="1290"/>
      <c r="L1384" s="1290"/>
      <c r="M1384" s="1290"/>
      <c r="N1384" s="1290"/>
      <c r="O1384" s="1290"/>
      <c r="P1384" s="1290"/>
    </row>
    <row r="1385" spans="1:16" s="1335" customFormat="1">
      <c r="A1385" s="1334"/>
      <c r="B1385" s="1290"/>
      <c r="C1385" s="1290"/>
      <c r="G1385" s="1290"/>
      <c r="H1385" s="1290"/>
      <c r="I1385" s="1290"/>
      <c r="J1385" s="1290"/>
      <c r="K1385" s="1290"/>
      <c r="L1385" s="1290"/>
      <c r="M1385" s="1290"/>
      <c r="N1385" s="1290"/>
      <c r="O1385" s="1290"/>
      <c r="P1385" s="1290"/>
    </row>
    <row r="1386" spans="1:16" s="1335" customFormat="1">
      <c r="A1386" s="1334"/>
      <c r="B1386" s="1290"/>
      <c r="C1386" s="1290"/>
      <c r="G1386" s="1290"/>
      <c r="H1386" s="1290"/>
      <c r="I1386" s="1290"/>
      <c r="J1386" s="1290"/>
      <c r="K1386" s="1290"/>
      <c r="L1386" s="1290"/>
      <c r="M1386" s="1290"/>
      <c r="N1386" s="1290"/>
      <c r="O1386" s="1290"/>
      <c r="P1386" s="1290"/>
    </row>
    <row r="1387" spans="1:16" s="1335" customFormat="1">
      <c r="A1387" s="1334"/>
      <c r="B1387" s="1290"/>
      <c r="C1387" s="1290"/>
      <c r="G1387" s="1290"/>
      <c r="H1387" s="1290"/>
      <c r="I1387" s="1290"/>
      <c r="J1387" s="1290"/>
      <c r="K1387" s="1290"/>
      <c r="L1387" s="1290"/>
      <c r="M1387" s="1290"/>
      <c r="N1387" s="1290"/>
      <c r="O1387" s="1290"/>
      <c r="P1387" s="1290"/>
    </row>
    <row r="1388" spans="1:16" s="1335" customFormat="1">
      <c r="A1388" s="1334"/>
      <c r="B1388" s="1290"/>
      <c r="C1388" s="1290"/>
      <c r="G1388" s="1290"/>
      <c r="H1388" s="1290"/>
      <c r="I1388" s="1290"/>
      <c r="J1388" s="1290"/>
      <c r="K1388" s="1290"/>
      <c r="L1388" s="1290"/>
      <c r="M1388" s="1290"/>
      <c r="N1388" s="1290"/>
      <c r="O1388" s="1290"/>
      <c r="P1388" s="1290"/>
    </row>
    <row r="1389" spans="1:16" s="1335" customFormat="1">
      <c r="A1389" s="1334"/>
      <c r="B1389" s="1290"/>
      <c r="C1389" s="1290"/>
      <c r="G1389" s="1290"/>
      <c r="H1389" s="1290"/>
      <c r="I1389" s="1290"/>
      <c r="J1389" s="1290"/>
      <c r="K1389" s="1290"/>
      <c r="L1389" s="1290"/>
      <c r="M1389" s="1290"/>
      <c r="N1389" s="1290"/>
      <c r="O1389" s="1290"/>
      <c r="P1389" s="1290"/>
    </row>
    <row r="1390" spans="1:16" s="1335" customFormat="1">
      <c r="A1390" s="1334"/>
      <c r="B1390" s="1290"/>
      <c r="C1390" s="1290"/>
      <c r="G1390" s="1290"/>
      <c r="H1390" s="1290"/>
      <c r="I1390" s="1290"/>
      <c r="J1390" s="1290"/>
      <c r="K1390" s="1290"/>
      <c r="L1390" s="1290"/>
      <c r="M1390" s="1290"/>
      <c r="N1390" s="1290"/>
      <c r="O1390" s="1290"/>
      <c r="P1390" s="1290"/>
    </row>
    <row r="1391" spans="1:16" s="1335" customFormat="1">
      <c r="A1391" s="1334"/>
      <c r="B1391" s="1290"/>
      <c r="C1391" s="1290"/>
      <c r="G1391" s="1290"/>
      <c r="H1391" s="1290"/>
      <c r="I1391" s="1290"/>
      <c r="J1391" s="1290"/>
      <c r="K1391" s="1290"/>
      <c r="L1391" s="1290"/>
      <c r="M1391" s="1290"/>
      <c r="N1391" s="1290"/>
      <c r="O1391" s="1290"/>
      <c r="P1391" s="1290"/>
    </row>
    <row r="1392" spans="1:16" s="1335" customFormat="1">
      <c r="A1392" s="1334"/>
      <c r="B1392" s="1290"/>
      <c r="C1392" s="1290"/>
      <c r="G1392" s="1290"/>
      <c r="H1392" s="1290"/>
      <c r="I1392" s="1290"/>
      <c r="J1392" s="1290"/>
      <c r="K1392" s="1290"/>
      <c r="L1392" s="1290"/>
      <c r="M1392" s="1290"/>
      <c r="N1392" s="1290"/>
      <c r="O1392" s="1290"/>
      <c r="P1392" s="1290"/>
    </row>
    <row r="1393" spans="1:16" s="1335" customFormat="1">
      <c r="A1393" s="1334"/>
      <c r="B1393" s="1290"/>
      <c r="C1393" s="1290"/>
      <c r="G1393" s="1290"/>
      <c r="H1393" s="1290"/>
      <c r="I1393" s="1290"/>
      <c r="J1393" s="1290"/>
      <c r="K1393" s="1290"/>
      <c r="L1393" s="1290"/>
      <c r="M1393" s="1290"/>
      <c r="N1393" s="1290"/>
      <c r="O1393" s="1290"/>
      <c r="P1393" s="1290"/>
    </row>
    <row r="1394" spans="1:16" s="1335" customFormat="1">
      <c r="A1394" s="1334"/>
      <c r="B1394" s="1290"/>
      <c r="C1394" s="1290"/>
      <c r="G1394" s="1290"/>
      <c r="H1394" s="1290"/>
      <c r="I1394" s="1290"/>
      <c r="J1394" s="1290"/>
      <c r="K1394" s="1290"/>
      <c r="L1394" s="1290"/>
      <c r="M1394" s="1290"/>
      <c r="N1394" s="1290"/>
      <c r="O1394" s="1290"/>
      <c r="P1394" s="1290"/>
    </row>
    <row r="1395" spans="1:16" s="1335" customFormat="1">
      <c r="A1395" s="1334"/>
      <c r="B1395" s="1290"/>
      <c r="C1395" s="1290"/>
      <c r="G1395" s="1290"/>
      <c r="H1395" s="1290"/>
      <c r="I1395" s="1290"/>
      <c r="J1395" s="1290"/>
      <c r="K1395" s="1290"/>
      <c r="L1395" s="1290"/>
      <c r="M1395" s="1290"/>
      <c r="N1395" s="1290"/>
      <c r="O1395" s="1290"/>
      <c r="P1395" s="1290"/>
    </row>
    <row r="1396" spans="1:16" s="1335" customFormat="1">
      <c r="A1396" s="1334"/>
      <c r="B1396" s="1290"/>
      <c r="C1396" s="1290"/>
      <c r="G1396" s="1290"/>
      <c r="H1396" s="1290"/>
      <c r="I1396" s="1290"/>
      <c r="J1396" s="1290"/>
      <c r="K1396" s="1290"/>
      <c r="L1396" s="1290"/>
      <c r="M1396" s="1290"/>
      <c r="N1396" s="1290"/>
      <c r="O1396" s="1290"/>
      <c r="P1396" s="1290"/>
    </row>
    <row r="1397" spans="1:16" s="1335" customFormat="1">
      <c r="A1397" s="1334"/>
      <c r="B1397" s="1290"/>
      <c r="C1397" s="1290"/>
      <c r="G1397" s="1290"/>
      <c r="H1397" s="1290"/>
      <c r="I1397" s="1290"/>
      <c r="J1397" s="1290"/>
      <c r="K1397" s="1290"/>
      <c r="L1397" s="1290"/>
      <c r="M1397" s="1290"/>
      <c r="N1397" s="1290"/>
      <c r="O1397" s="1290"/>
      <c r="P1397" s="1290"/>
    </row>
    <row r="1398" spans="1:16" s="1335" customFormat="1">
      <c r="A1398" s="1334"/>
      <c r="B1398" s="1290"/>
      <c r="C1398" s="1290"/>
      <c r="G1398" s="1290"/>
      <c r="H1398" s="1290"/>
      <c r="I1398" s="1290"/>
      <c r="J1398" s="1290"/>
      <c r="K1398" s="1290"/>
      <c r="L1398" s="1290"/>
      <c r="M1398" s="1290"/>
      <c r="N1398" s="1290"/>
      <c r="O1398" s="1290"/>
      <c r="P1398" s="1290"/>
    </row>
    <row r="1399" spans="1:16" s="1335" customFormat="1">
      <c r="A1399" s="1334"/>
      <c r="B1399" s="1290"/>
      <c r="C1399" s="1290"/>
      <c r="G1399" s="1290"/>
      <c r="H1399" s="1290"/>
      <c r="I1399" s="1290"/>
      <c r="J1399" s="1290"/>
      <c r="K1399" s="1290"/>
      <c r="L1399" s="1290"/>
      <c r="M1399" s="1290"/>
      <c r="N1399" s="1290"/>
      <c r="O1399" s="1290"/>
      <c r="P1399" s="1290"/>
    </row>
    <row r="1400" spans="1:16" s="1335" customFormat="1">
      <c r="A1400" s="1334"/>
      <c r="B1400" s="1290"/>
      <c r="C1400" s="1290"/>
      <c r="G1400" s="1290"/>
      <c r="H1400" s="1290"/>
      <c r="I1400" s="1290"/>
      <c r="J1400" s="1290"/>
      <c r="K1400" s="1290"/>
      <c r="L1400" s="1290"/>
      <c r="M1400" s="1290"/>
      <c r="N1400" s="1290"/>
      <c r="O1400" s="1290"/>
      <c r="P1400" s="1290"/>
    </row>
    <row r="1401" spans="1:16" s="1335" customFormat="1">
      <c r="A1401" s="1334"/>
      <c r="B1401" s="1290"/>
      <c r="C1401" s="1290"/>
      <c r="G1401" s="1290"/>
      <c r="H1401" s="1290"/>
      <c r="I1401" s="1290"/>
      <c r="J1401" s="1290"/>
      <c r="K1401" s="1290"/>
      <c r="L1401" s="1290"/>
      <c r="M1401" s="1290"/>
      <c r="N1401" s="1290"/>
      <c r="O1401" s="1290"/>
      <c r="P1401" s="1290"/>
    </row>
    <row r="1402" spans="1:16" s="1335" customFormat="1">
      <c r="A1402" s="1334"/>
      <c r="B1402" s="1290"/>
      <c r="C1402" s="1290"/>
      <c r="G1402" s="1290"/>
      <c r="H1402" s="1290"/>
      <c r="I1402" s="1290"/>
      <c r="J1402" s="1290"/>
      <c r="K1402" s="1290"/>
      <c r="L1402" s="1290"/>
      <c r="M1402" s="1290"/>
      <c r="N1402" s="1290"/>
      <c r="O1402" s="1290"/>
      <c r="P1402" s="1290"/>
    </row>
    <row r="1403" spans="1:16" s="1335" customFormat="1">
      <c r="A1403" s="1334"/>
      <c r="B1403" s="1290"/>
      <c r="C1403" s="1290"/>
      <c r="G1403" s="1290"/>
      <c r="H1403" s="1290"/>
      <c r="I1403" s="1290"/>
      <c r="J1403" s="1290"/>
      <c r="K1403" s="1290"/>
      <c r="L1403" s="1290"/>
      <c r="M1403" s="1290"/>
      <c r="N1403" s="1290"/>
      <c r="O1403" s="1290"/>
      <c r="P1403" s="1290"/>
    </row>
    <row r="1404" spans="1:16" s="1335" customFormat="1">
      <c r="A1404" s="1334"/>
      <c r="B1404" s="1290"/>
      <c r="C1404" s="1290"/>
      <c r="G1404" s="1290"/>
      <c r="H1404" s="1290"/>
      <c r="I1404" s="1290"/>
      <c r="J1404" s="1290"/>
      <c r="K1404" s="1290"/>
      <c r="L1404" s="1290"/>
      <c r="M1404" s="1290"/>
      <c r="N1404" s="1290"/>
      <c r="O1404" s="1290"/>
      <c r="P1404" s="1290"/>
    </row>
    <row r="1405" spans="1:16" s="1335" customFormat="1">
      <c r="A1405" s="1334"/>
      <c r="B1405" s="1290"/>
      <c r="C1405" s="1290"/>
      <c r="G1405" s="1290"/>
      <c r="H1405" s="1290"/>
      <c r="I1405" s="1290"/>
      <c r="J1405" s="1290"/>
      <c r="K1405" s="1290"/>
      <c r="L1405" s="1290"/>
      <c r="M1405" s="1290"/>
      <c r="N1405" s="1290"/>
      <c r="O1405" s="1290"/>
      <c r="P1405" s="1290"/>
    </row>
    <row r="1406" spans="1:16" s="1335" customFormat="1">
      <c r="A1406" s="1334"/>
      <c r="B1406" s="1290"/>
      <c r="C1406" s="1290"/>
      <c r="G1406" s="1290"/>
      <c r="H1406" s="1290"/>
      <c r="I1406" s="1290"/>
      <c r="J1406" s="1290"/>
      <c r="K1406" s="1290"/>
      <c r="L1406" s="1290"/>
      <c r="M1406" s="1290"/>
      <c r="N1406" s="1290"/>
      <c r="O1406" s="1290"/>
      <c r="P1406" s="1290"/>
    </row>
    <row r="1407" spans="1:16" s="1335" customFormat="1">
      <c r="A1407" s="1334"/>
      <c r="B1407" s="1290"/>
      <c r="C1407" s="1290"/>
      <c r="G1407" s="1290"/>
      <c r="H1407" s="1290"/>
      <c r="I1407" s="1290"/>
      <c r="J1407" s="1290"/>
      <c r="K1407" s="1290"/>
      <c r="L1407" s="1290"/>
      <c r="M1407" s="1290"/>
      <c r="N1407" s="1290"/>
      <c r="O1407" s="1290"/>
      <c r="P1407" s="1290"/>
    </row>
    <row r="1408" spans="1:16" s="1335" customFormat="1">
      <c r="A1408" s="1334"/>
      <c r="B1408" s="1290"/>
      <c r="C1408" s="1290"/>
      <c r="G1408" s="1290"/>
      <c r="H1408" s="1290"/>
      <c r="I1408" s="1290"/>
      <c r="J1408" s="1290"/>
      <c r="K1408" s="1290"/>
      <c r="L1408" s="1290"/>
      <c r="M1408" s="1290"/>
      <c r="N1408" s="1290"/>
      <c r="O1408" s="1290"/>
      <c r="P1408" s="1290"/>
    </row>
    <row r="1409" spans="1:16" s="1335" customFormat="1">
      <c r="A1409" s="1334"/>
      <c r="B1409" s="1290"/>
      <c r="C1409" s="1290"/>
      <c r="G1409" s="1290"/>
      <c r="H1409" s="1290"/>
      <c r="I1409" s="1290"/>
      <c r="J1409" s="1290"/>
      <c r="K1409" s="1290"/>
      <c r="L1409" s="1290"/>
      <c r="M1409" s="1290"/>
      <c r="N1409" s="1290"/>
      <c r="O1409" s="1290"/>
      <c r="P1409" s="1290"/>
    </row>
    <row r="1410" spans="1:16" s="1335" customFormat="1">
      <c r="A1410" s="1334"/>
      <c r="B1410" s="1290"/>
      <c r="C1410" s="1290"/>
      <c r="G1410" s="1290"/>
      <c r="H1410" s="1290"/>
      <c r="I1410" s="1290"/>
      <c r="J1410" s="1290"/>
      <c r="K1410" s="1290"/>
      <c r="L1410" s="1290"/>
      <c r="M1410" s="1290"/>
      <c r="N1410" s="1290"/>
      <c r="O1410" s="1290"/>
      <c r="P1410" s="1290"/>
    </row>
    <row r="1411" spans="1:16" s="1335" customFormat="1">
      <c r="A1411" s="1334"/>
      <c r="B1411" s="1290"/>
      <c r="C1411" s="1290"/>
      <c r="G1411" s="1290"/>
      <c r="H1411" s="1290"/>
      <c r="I1411" s="1290"/>
      <c r="J1411" s="1290"/>
      <c r="K1411" s="1290"/>
      <c r="L1411" s="1290"/>
      <c r="M1411" s="1290"/>
      <c r="N1411" s="1290"/>
      <c r="O1411" s="1290"/>
      <c r="P1411" s="1290"/>
    </row>
    <row r="1412" spans="1:16" s="1335" customFormat="1">
      <c r="A1412" s="1334"/>
      <c r="B1412" s="1290"/>
      <c r="C1412" s="1290"/>
      <c r="G1412" s="1290"/>
      <c r="H1412" s="1290"/>
      <c r="I1412" s="1290"/>
      <c r="J1412" s="1290"/>
      <c r="K1412" s="1290"/>
      <c r="L1412" s="1290"/>
      <c r="M1412" s="1290"/>
      <c r="N1412" s="1290"/>
      <c r="O1412" s="1290"/>
      <c r="P1412" s="1290"/>
    </row>
    <row r="1413" spans="1:16" s="1335" customFormat="1">
      <c r="A1413" s="1334"/>
      <c r="B1413" s="1290"/>
      <c r="C1413" s="1290"/>
      <c r="G1413" s="1290"/>
      <c r="H1413" s="1290"/>
      <c r="I1413" s="1290"/>
      <c r="J1413" s="1290"/>
      <c r="K1413" s="1290"/>
      <c r="L1413" s="1290"/>
      <c r="M1413" s="1290"/>
      <c r="N1413" s="1290"/>
      <c r="O1413" s="1290"/>
      <c r="P1413" s="1290"/>
    </row>
    <row r="1414" spans="1:16" s="1335" customFormat="1">
      <c r="A1414" s="1334"/>
      <c r="B1414" s="1290"/>
      <c r="C1414" s="1290"/>
      <c r="G1414" s="1290"/>
      <c r="H1414" s="1290"/>
      <c r="I1414" s="1290"/>
      <c r="J1414" s="1290"/>
      <c r="K1414" s="1290"/>
      <c r="L1414" s="1290"/>
      <c r="M1414" s="1290"/>
      <c r="N1414" s="1290"/>
      <c r="O1414" s="1290"/>
      <c r="P1414" s="1290"/>
    </row>
    <row r="1415" spans="1:16" s="1335" customFormat="1">
      <c r="A1415" s="1334"/>
      <c r="B1415" s="1290"/>
      <c r="C1415" s="1290"/>
      <c r="G1415" s="1290"/>
      <c r="H1415" s="1290"/>
      <c r="I1415" s="1290"/>
      <c r="J1415" s="1290"/>
      <c r="K1415" s="1290"/>
      <c r="L1415" s="1290"/>
      <c r="M1415" s="1290"/>
      <c r="N1415" s="1290"/>
      <c r="O1415" s="1290"/>
      <c r="P1415" s="1290"/>
    </row>
    <row r="1416" spans="1:16" s="1335" customFormat="1">
      <c r="A1416" s="1334"/>
      <c r="B1416" s="1290"/>
      <c r="C1416" s="1290"/>
      <c r="G1416" s="1290"/>
      <c r="H1416" s="1290"/>
      <c r="I1416" s="1290"/>
      <c r="J1416" s="1290"/>
      <c r="K1416" s="1290"/>
      <c r="L1416" s="1290"/>
      <c r="M1416" s="1290"/>
      <c r="N1416" s="1290"/>
      <c r="O1416" s="1290"/>
      <c r="P1416" s="1290"/>
    </row>
    <row r="1417" spans="1:16" s="1335" customFormat="1">
      <c r="A1417" s="1334"/>
      <c r="B1417" s="1290"/>
      <c r="C1417" s="1290"/>
      <c r="G1417" s="1290"/>
      <c r="H1417" s="1290"/>
      <c r="I1417" s="1290"/>
      <c r="J1417" s="1290"/>
      <c r="K1417" s="1290"/>
      <c r="L1417" s="1290"/>
      <c r="M1417" s="1290"/>
      <c r="N1417" s="1290"/>
      <c r="O1417" s="1290"/>
      <c r="P1417" s="1290"/>
    </row>
    <row r="1418" spans="1:16" s="1335" customFormat="1">
      <c r="A1418" s="1334"/>
      <c r="B1418" s="1290"/>
      <c r="C1418" s="1290"/>
      <c r="G1418" s="1290"/>
      <c r="H1418" s="1290"/>
      <c r="I1418" s="1290"/>
      <c r="J1418" s="1290"/>
      <c r="K1418" s="1290"/>
      <c r="L1418" s="1290"/>
      <c r="M1418" s="1290"/>
      <c r="N1418" s="1290"/>
      <c r="O1418" s="1290"/>
      <c r="P1418" s="1290"/>
    </row>
    <row r="1419" spans="1:16" s="1335" customFormat="1">
      <c r="A1419" s="1334"/>
      <c r="B1419" s="1290"/>
      <c r="C1419" s="1290"/>
      <c r="G1419" s="1290"/>
      <c r="H1419" s="1290"/>
      <c r="I1419" s="1290"/>
      <c r="J1419" s="1290"/>
      <c r="K1419" s="1290"/>
      <c r="L1419" s="1290"/>
      <c r="M1419" s="1290"/>
      <c r="N1419" s="1290"/>
      <c r="O1419" s="1290"/>
      <c r="P1419" s="1290"/>
    </row>
    <row r="1420" spans="1:16" s="1335" customFormat="1">
      <c r="A1420" s="1334"/>
      <c r="B1420" s="1290"/>
      <c r="C1420" s="1290"/>
      <c r="G1420" s="1290"/>
      <c r="H1420" s="1290"/>
      <c r="I1420" s="1290"/>
      <c r="J1420" s="1290"/>
      <c r="K1420" s="1290"/>
      <c r="L1420" s="1290"/>
      <c r="M1420" s="1290"/>
      <c r="N1420" s="1290"/>
      <c r="O1420" s="1290"/>
      <c r="P1420" s="1290"/>
    </row>
    <row r="1421" spans="1:16" s="1335" customFormat="1">
      <c r="A1421" s="1334"/>
      <c r="B1421" s="1290"/>
      <c r="C1421" s="1290"/>
      <c r="G1421" s="1290"/>
      <c r="H1421" s="1290"/>
      <c r="I1421" s="1290"/>
      <c r="J1421" s="1290"/>
      <c r="K1421" s="1290"/>
      <c r="L1421" s="1290"/>
      <c r="M1421" s="1290"/>
      <c r="N1421" s="1290"/>
      <c r="O1421" s="1290"/>
      <c r="P1421" s="1290"/>
    </row>
    <row r="1422" spans="1:16" s="1335" customFormat="1">
      <c r="A1422" s="1334"/>
      <c r="B1422" s="1290"/>
      <c r="C1422" s="1290"/>
      <c r="G1422" s="1290"/>
      <c r="H1422" s="1290"/>
      <c r="I1422" s="1290"/>
      <c r="J1422" s="1290"/>
      <c r="K1422" s="1290"/>
      <c r="L1422" s="1290"/>
      <c r="M1422" s="1290"/>
      <c r="N1422" s="1290"/>
      <c r="O1422" s="1290"/>
      <c r="P1422" s="1290"/>
    </row>
    <row r="1423" spans="1:16" s="1335" customFormat="1">
      <c r="A1423" s="1334"/>
      <c r="B1423" s="1290"/>
      <c r="C1423" s="1290"/>
      <c r="G1423" s="1290"/>
      <c r="H1423" s="1290"/>
      <c r="I1423" s="1290"/>
      <c r="J1423" s="1290"/>
      <c r="K1423" s="1290"/>
      <c r="L1423" s="1290"/>
      <c r="M1423" s="1290"/>
      <c r="N1423" s="1290"/>
      <c r="O1423" s="1290"/>
      <c r="P1423" s="1290"/>
    </row>
    <row r="1424" spans="1:16" s="1335" customFormat="1">
      <c r="A1424" s="1334"/>
      <c r="B1424" s="1290"/>
      <c r="C1424" s="1290"/>
      <c r="G1424" s="1290"/>
      <c r="H1424" s="1290"/>
      <c r="I1424" s="1290"/>
      <c r="J1424" s="1290"/>
      <c r="K1424" s="1290"/>
      <c r="L1424" s="1290"/>
      <c r="M1424" s="1290"/>
      <c r="N1424" s="1290"/>
      <c r="O1424" s="1290"/>
      <c r="P1424" s="1290"/>
    </row>
    <row r="1425" spans="1:16" s="1335" customFormat="1">
      <c r="A1425" s="1334"/>
      <c r="B1425" s="1290"/>
      <c r="C1425" s="1290"/>
      <c r="G1425" s="1290"/>
      <c r="H1425" s="1290"/>
      <c r="I1425" s="1290"/>
      <c r="J1425" s="1290"/>
      <c r="K1425" s="1290"/>
      <c r="L1425" s="1290"/>
      <c r="M1425" s="1290"/>
      <c r="N1425" s="1290"/>
      <c r="O1425" s="1290"/>
      <c r="P1425" s="1290"/>
    </row>
    <row r="1426" spans="1:16" s="1335" customFormat="1">
      <c r="A1426" s="1334"/>
      <c r="B1426" s="1290"/>
      <c r="C1426" s="1290"/>
      <c r="G1426" s="1290"/>
      <c r="H1426" s="1290"/>
      <c r="I1426" s="1290"/>
      <c r="J1426" s="1290"/>
      <c r="K1426" s="1290"/>
      <c r="L1426" s="1290"/>
      <c r="M1426" s="1290"/>
      <c r="N1426" s="1290"/>
      <c r="O1426" s="1290"/>
      <c r="P1426" s="1290"/>
    </row>
    <row r="1427" spans="1:16" s="1335" customFormat="1">
      <c r="A1427" s="1334"/>
      <c r="B1427" s="1290"/>
      <c r="C1427" s="1290"/>
      <c r="G1427" s="1290"/>
      <c r="H1427" s="1290"/>
      <c r="I1427" s="1290"/>
      <c r="J1427" s="1290"/>
      <c r="K1427" s="1290"/>
      <c r="L1427" s="1290"/>
      <c r="M1427" s="1290"/>
      <c r="N1427" s="1290"/>
      <c r="O1427" s="1290"/>
      <c r="P1427" s="1290"/>
    </row>
    <row r="1428" spans="1:16" s="1335" customFormat="1">
      <c r="A1428" s="1334"/>
      <c r="B1428" s="1290"/>
      <c r="C1428" s="1290"/>
      <c r="G1428" s="1290"/>
      <c r="H1428" s="1290"/>
      <c r="I1428" s="1290"/>
      <c r="J1428" s="1290"/>
      <c r="K1428" s="1290"/>
      <c r="L1428" s="1290"/>
      <c r="M1428" s="1290"/>
      <c r="N1428" s="1290"/>
      <c r="O1428" s="1290"/>
      <c r="P1428" s="1290"/>
    </row>
    <row r="1429" spans="1:16" s="1335" customFormat="1">
      <c r="A1429" s="1334"/>
      <c r="B1429" s="1290"/>
      <c r="C1429" s="1290"/>
      <c r="G1429" s="1290"/>
      <c r="H1429" s="1290"/>
      <c r="I1429" s="1290"/>
      <c r="J1429" s="1290"/>
      <c r="K1429" s="1290"/>
      <c r="L1429" s="1290"/>
      <c r="M1429" s="1290"/>
      <c r="N1429" s="1290"/>
      <c r="O1429" s="1290"/>
      <c r="P1429" s="1290"/>
    </row>
    <row r="1430" spans="1:16" s="1335" customFormat="1">
      <c r="A1430" s="1334"/>
      <c r="B1430" s="1290"/>
      <c r="C1430" s="1290"/>
      <c r="G1430" s="1290"/>
      <c r="H1430" s="1290"/>
      <c r="I1430" s="1290"/>
      <c r="J1430" s="1290"/>
      <c r="K1430" s="1290"/>
      <c r="L1430" s="1290"/>
      <c r="M1430" s="1290"/>
      <c r="N1430" s="1290"/>
      <c r="O1430" s="1290"/>
      <c r="P1430" s="1290"/>
    </row>
    <row r="1431" spans="1:16" s="1335" customFormat="1">
      <c r="A1431" s="1334"/>
      <c r="B1431" s="1290"/>
      <c r="C1431" s="1290"/>
      <c r="G1431" s="1290"/>
      <c r="H1431" s="1290"/>
      <c r="I1431" s="1290"/>
      <c r="J1431" s="1290"/>
      <c r="K1431" s="1290"/>
      <c r="L1431" s="1290"/>
      <c r="M1431" s="1290"/>
      <c r="N1431" s="1290"/>
      <c r="O1431" s="1290"/>
      <c r="P1431" s="1290"/>
    </row>
    <row r="1432" spans="1:16" s="1335" customFormat="1">
      <c r="A1432" s="1334"/>
      <c r="B1432" s="1290"/>
      <c r="C1432" s="1290"/>
      <c r="G1432" s="1290"/>
      <c r="H1432" s="1290"/>
      <c r="I1432" s="1290"/>
      <c r="J1432" s="1290"/>
      <c r="K1432" s="1290"/>
      <c r="L1432" s="1290"/>
      <c r="M1432" s="1290"/>
      <c r="N1432" s="1290"/>
      <c r="O1432" s="1290"/>
      <c r="P1432" s="1290"/>
    </row>
    <row r="1433" spans="1:16" s="1335" customFormat="1">
      <c r="A1433" s="1334"/>
      <c r="B1433" s="1290"/>
      <c r="C1433" s="1290"/>
      <c r="G1433" s="1290"/>
      <c r="H1433" s="1290"/>
      <c r="I1433" s="1290"/>
      <c r="J1433" s="1290"/>
      <c r="K1433" s="1290"/>
      <c r="L1433" s="1290"/>
      <c r="M1433" s="1290"/>
      <c r="N1433" s="1290"/>
      <c r="O1433" s="1290"/>
      <c r="P1433" s="1290"/>
    </row>
    <row r="1434" spans="1:16" s="1335" customFormat="1">
      <c r="A1434" s="1334"/>
      <c r="B1434" s="1290"/>
      <c r="C1434" s="1290"/>
      <c r="G1434" s="1290"/>
      <c r="H1434" s="1290"/>
      <c r="I1434" s="1290"/>
      <c r="J1434" s="1290"/>
      <c r="K1434" s="1290"/>
      <c r="L1434" s="1290"/>
      <c r="M1434" s="1290"/>
      <c r="N1434" s="1290"/>
      <c r="O1434" s="1290"/>
      <c r="P1434" s="1290"/>
    </row>
    <row r="1435" spans="1:16" s="1335" customFormat="1">
      <c r="A1435" s="1334"/>
      <c r="B1435" s="1290"/>
      <c r="C1435" s="1290"/>
      <c r="G1435" s="1290"/>
      <c r="H1435" s="1290"/>
      <c r="I1435" s="1290"/>
      <c r="J1435" s="1290"/>
      <c r="K1435" s="1290"/>
      <c r="L1435" s="1290"/>
      <c r="M1435" s="1290"/>
      <c r="N1435" s="1290"/>
      <c r="O1435" s="1290"/>
      <c r="P1435" s="1290"/>
    </row>
    <row r="1436" spans="1:16" s="1335" customFormat="1">
      <c r="A1436" s="1334"/>
      <c r="B1436" s="1290"/>
      <c r="C1436" s="1290"/>
      <c r="G1436" s="1290"/>
      <c r="H1436" s="1290"/>
      <c r="I1436" s="1290"/>
      <c r="J1436" s="1290"/>
      <c r="K1436" s="1290"/>
      <c r="L1436" s="1290"/>
      <c r="M1436" s="1290"/>
      <c r="N1436" s="1290"/>
      <c r="O1436" s="1290"/>
      <c r="P1436" s="1290"/>
    </row>
    <row r="1437" spans="1:16" s="1335" customFormat="1">
      <c r="A1437" s="1334"/>
      <c r="B1437" s="1290"/>
      <c r="C1437" s="1290"/>
      <c r="G1437" s="1290"/>
      <c r="H1437" s="1290"/>
      <c r="I1437" s="1290"/>
      <c r="J1437" s="1290"/>
      <c r="K1437" s="1290"/>
      <c r="L1437" s="1290"/>
      <c r="M1437" s="1290"/>
      <c r="N1437" s="1290"/>
      <c r="O1437" s="1290"/>
      <c r="P1437" s="1290"/>
    </row>
    <row r="1438" spans="1:16" s="1335" customFormat="1">
      <c r="A1438" s="1334"/>
      <c r="B1438" s="1290"/>
      <c r="C1438" s="1290"/>
      <c r="G1438" s="1290"/>
      <c r="H1438" s="1290"/>
      <c r="I1438" s="1290"/>
      <c r="J1438" s="1290"/>
      <c r="K1438" s="1290"/>
      <c r="L1438" s="1290"/>
      <c r="M1438" s="1290"/>
      <c r="N1438" s="1290"/>
      <c r="O1438" s="1290"/>
      <c r="P1438" s="1290"/>
    </row>
    <row r="1439" spans="1:16" s="1335" customFormat="1">
      <c r="A1439" s="1334"/>
      <c r="B1439" s="1290"/>
      <c r="C1439" s="1290"/>
      <c r="G1439" s="1290"/>
      <c r="H1439" s="1290"/>
      <c r="I1439" s="1290"/>
      <c r="J1439" s="1290"/>
      <c r="K1439" s="1290"/>
      <c r="L1439" s="1290"/>
      <c r="M1439" s="1290"/>
      <c r="N1439" s="1290"/>
      <c r="O1439" s="1290"/>
      <c r="P1439" s="1290"/>
    </row>
    <row r="1440" spans="1:16" s="1335" customFormat="1">
      <c r="A1440" s="1334"/>
      <c r="B1440" s="1290"/>
      <c r="C1440" s="1290"/>
      <c r="G1440" s="1290"/>
      <c r="H1440" s="1290"/>
      <c r="I1440" s="1290"/>
      <c r="J1440" s="1290"/>
      <c r="K1440" s="1290"/>
      <c r="L1440" s="1290"/>
      <c r="M1440" s="1290"/>
      <c r="N1440" s="1290"/>
      <c r="O1440" s="1290"/>
      <c r="P1440" s="1290"/>
    </row>
    <row r="1441" spans="1:16" s="1335" customFormat="1">
      <c r="A1441" s="1334"/>
      <c r="B1441" s="1290"/>
      <c r="C1441" s="1290"/>
      <c r="G1441" s="1290"/>
      <c r="H1441" s="1290"/>
      <c r="I1441" s="1290"/>
      <c r="J1441" s="1290"/>
      <c r="K1441" s="1290"/>
      <c r="L1441" s="1290"/>
      <c r="M1441" s="1290"/>
      <c r="N1441" s="1290"/>
      <c r="O1441" s="1290"/>
      <c r="P1441" s="1290"/>
    </row>
    <row r="1442" spans="1:16" s="1335" customFormat="1">
      <c r="A1442" s="1334"/>
      <c r="B1442" s="1290"/>
      <c r="C1442" s="1290"/>
      <c r="G1442" s="1290"/>
      <c r="H1442" s="1290"/>
      <c r="I1442" s="1290"/>
      <c r="J1442" s="1290"/>
      <c r="K1442" s="1290"/>
      <c r="L1442" s="1290"/>
      <c r="M1442" s="1290"/>
      <c r="N1442" s="1290"/>
      <c r="O1442" s="1290"/>
      <c r="P1442" s="1290"/>
    </row>
    <row r="1443" spans="1:16" s="1335" customFormat="1">
      <c r="A1443" s="1334"/>
      <c r="B1443" s="1290"/>
      <c r="C1443" s="1290"/>
      <c r="G1443" s="1290"/>
      <c r="H1443" s="1290"/>
      <c r="I1443" s="1290"/>
      <c r="J1443" s="1290"/>
      <c r="K1443" s="1290"/>
      <c r="L1443" s="1290"/>
      <c r="M1443" s="1290"/>
      <c r="N1443" s="1290"/>
      <c r="O1443" s="1290"/>
      <c r="P1443" s="1290"/>
    </row>
    <row r="1444" spans="1:16" s="1335" customFormat="1">
      <c r="A1444" s="1334"/>
      <c r="B1444" s="1290"/>
      <c r="C1444" s="1290"/>
      <c r="G1444" s="1290"/>
      <c r="H1444" s="1290"/>
      <c r="I1444" s="1290"/>
      <c r="J1444" s="1290"/>
      <c r="K1444" s="1290"/>
      <c r="L1444" s="1290"/>
      <c r="M1444" s="1290"/>
      <c r="N1444" s="1290"/>
      <c r="O1444" s="1290"/>
      <c r="P1444" s="1290"/>
    </row>
    <row r="1445" spans="1:16" s="1335" customFormat="1">
      <c r="A1445" s="1334"/>
      <c r="B1445" s="1290"/>
      <c r="C1445" s="1290"/>
      <c r="G1445" s="1290"/>
      <c r="H1445" s="1290"/>
      <c r="I1445" s="1290"/>
      <c r="J1445" s="1290"/>
      <c r="K1445" s="1290"/>
      <c r="L1445" s="1290"/>
      <c r="M1445" s="1290"/>
      <c r="N1445" s="1290"/>
      <c r="O1445" s="1290"/>
      <c r="P1445" s="1290"/>
    </row>
    <row r="1446" spans="1:16" s="1335" customFormat="1">
      <c r="A1446" s="1334"/>
      <c r="B1446" s="1290"/>
      <c r="C1446" s="1290"/>
      <c r="G1446" s="1290"/>
      <c r="H1446" s="1290"/>
      <c r="I1446" s="1290"/>
      <c r="J1446" s="1290"/>
      <c r="K1446" s="1290"/>
      <c r="L1446" s="1290"/>
      <c r="M1446" s="1290"/>
      <c r="N1446" s="1290"/>
      <c r="O1446" s="1290"/>
      <c r="P1446" s="1290"/>
    </row>
    <row r="1447" spans="1:16" s="1335" customFormat="1">
      <c r="A1447" s="1334"/>
      <c r="B1447" s="1290"/>
      <c r="C1447" s="1290"/>
      <c r="G1447" s="1290"/>
      <c r="H1447" s="1290"/>
      <c r="I1447" s="1290"/>
      <c r="J1447" s="1290"/>
      <c r="K1447" s="1290"/>
      <c r="L1447" s="1290"/>
      <c r="M1447" s="1290"/>
      <c r="N1447" s="1290"/>
      <c r="O1447" s="1290"/>
      <c r="P1447" s="1290"/>
    </row>
    <row r="1448" spans="1:16" s="1335" customFormat="1">
      <c r="A1448" s="1334"/>
      <c r="B1448" s="1290"/>
      <c r="C1448" s="1290"/>
      <c r="G1448" s="1290"/>
      <c r="H1448" s="1290"/>
      <c r="I1448" s="1290"/>
      <c r="J1448" s="1290"/>
      <c r="K1448" s="1290"/>
      <c r="L1448" s="1290"/>
      <c r="M1448" s="1290"/>
      <c r="N1448" s="1290"/>
      <c r="O1448" s="1290"/>
      <c r="P1448" s="1290"/>
    </row>
    <row r="1449" spans="1:16" s="1335" customFormat="1">
      <c r="A1449" s="1334"/>
      <c r="B1449" s="1290"/>
      <c r="C1449" s="1290"/>
      <c r="G1449" s="1290"/>
      <c r="H1449" s="1290"/>
      <c r="I1449" s="1290"/>
      <c r="J1449" s="1290"/>
      <c r="K1449" s="1290"/>
      <c r="L1449" s="1290"/>
      <c r="M1449" s="1290"/>
      <c r="N1449" s="1290"/>
      <c r="O1449" s="1290"/>
      <c r="P1449" s="1290"/>
    </row>
    <row r="1450" spans="1:16" s="1335" customFormat="1">
      <c r="A1450" s="1334"/>
      <c r="B1450" s="1290"/>
      <c r="C1450" s="1290"/>
      <c r="G1450" s="1290"/>
      <c r="H1450" s="1290"/>
      <c r="I1450" s="1290"/>
      <c r="J1450" s="1290"/>
      <c r="K1450" s="1290"/>
      <c r="L1450" s="1290"/>
      <c r="M1450" s="1290"/>
      <c r="N1450" s="1290"/>
      <c r="O1450" s="1290"/>
      <c r="P1450" s="1290"/>
    </row>
    <row r="1451" spans="1:16" s="1335" customFormat="1">
      <c r="A1451" s="1334"/>
      <c r="B1451" s="1290"/>
      <c r="C1451" s="1290"/>
      <c r="G1451" s="1290"/>
      <c r="H1451" s="1290"/>
      <c r="I1451" s="1290"/>
      <c r="J1451" s="1290"/>
      <c r="K1451" s="1290"/>
      <c r="L1451" s="1290"/>
      <c r="M1451" s="1290"/>
      <c r="N1451" s="1290"/>
      <c r="O1451" s="1290"/>
      <c r="P1451" s="1290"/>
    </row>
    <row r="1452" spans="1:16" s="1335" customFormat="1">
      <c r="A1452" s="1334"/>
      <c r="B1452" s="1290"/>
      <c r="C1452" s="1290"/>
      <c r="G1452" s="1290"/>
      <c r="H1452" s="1290"/>
      <c r="I1452" s="1290"/>
      <c r="J1452" s="1290"/>
      <c r="K1452" s="1290"/>
      <c r="L1452" s="1290"/>
      <c r="M1452" s="1290"/>
      <c r="N1452" s="1290"/>
      <c r="O1452" s="1290"/>
      <c r="P1452" s="1290"/>
    </row>
    <row r="1453" spans="1:16" s="1335" customFormat="1">
      <c r="A1453" s="1334"/>
      <c r="B1453" s="1290"/>
      <c r="C1453" s="1290"/>
      <c r="G1453" s="1290"/>
      <c r="H1453" s="1290"/>
      <c r="I1453" s="1290"/>
      <c r="J1453" s="1290"/>
      <c r="K1453" s="1290"/>
      <c r="L1453" s="1290"/>
      <c r="M1453" s="1290"/>
      <c r="N1453" s="1290"/>
      <c r="O1453" s="1290"/>
      <c r="P1453" s="1290"/>
    </row>
    <row r="1454" spans="1:16" s="1335" customFormat="1">
      <c r="A1454" s="1334"/>
      <c r="B1454" s="1290"/>
      <c r="C1454" s="1290"/>
      <c r="G1454" s="1290"/>
      <c r="H1454" s="1290"/>
      <c r="I1454" s="1290"/>
      <c r="J1454" s="1290"/>
      <c r="K1454" s="1290"/>
      <c r="L1454" s="1290"/>
      <c r="M1454" s="1290"/>
      <c r="N1454" s="1290"/>
      <c r="O1454" s="1290"/>
      <c r="P1454" s="1290"/>
    </row>
    <row r="1455" spans="1:16" s="1335" customFormat="1">
      <c r="A1455" s="1334"/>
      <c r="B1455" s="1290"/>
      <c r="C1455" s="1290"/>
      <c r="G1455" s="1290"/>
      <c r="H1455" s="1290"/>
      <c r="I1455" s="1290"/>
      <c r="J1455" s="1290"/>
      <c r="K1455" s="1290"/>
      <c r="L1455" s="1290"/>
      <c r="M1455" s="1290"/>
      <c r="N1455" s="1290"/>
      <c r="O1455" s="1290"/>
      <c r="P1455" s="1290"/>
    </row>
    <row r="1456" spans="1:16" s="1335" customFormat="1">
      <c r="A1456" s="1334"/>
      <c r="B1456" s="1290"/>
      <c r="C1456" s="1290"/>
      <c r="G1456" s="1290"/>
      <c r="H1456" s="1290"/>
      <c r="I1456" s="1290"/>
      <c r="J1456" s="1290"/>
      <c r="K1456" s="1290"/>
      <c r="L1456" s="1290"/>
      <c r="M1456" s="1290"/>
      <c r="N1456" s="1290"/>
      <c r="O1456" s="1290"/>
      <c r="P1456" s="1290"/>
    </row>
    <row r="1457" spans="1:16" s="1335" customFormat="1">
      <c r="A1457" s="1334"/>
      <c r="B1457" s="1290"/>
      <c r="C1457" s="1290"/>
      <c r="G1457" s="1290"/>
      <c r="H1457" s="1290"/>
      <c r="I1457" s="1290"/>
      <c r="J1457" s="1290"/>
      <c r="K1457" s="1290"/>
      <c r="L1457" s="1290"/>
      <c r="M1457" s="1290"/>
      <c r="N1457" s="1290"/>
      <c r="O1457" s="1290"/>
      <c r="P1457" s="1290"/>
    </row>
    <row r="1458" spans="1:16" s="1335" customFormat="1">
      <c r="A1458" s="1334"/>
      <c r="B1458" s="1290"/>
      <c r="C1458" s="1290"/>
      <c r="G1458" s="1290"/>
      <c r="H1458" s="1290"/>
      <c r="I1458" s="1290"/>
      <c r="J1458" s="1290"/>
      <c r="K1458" s="1290"/>
      <c r="L1458" s="1290"/>
      <c r="M1458" s="1290"/>
      <c r="N1458" s="1290"/>
      <c r="O1458" s="1290"/>
      <c r="P1458" s="1290"/>
    </row>
    <row r="1459" spans="1:16" s="1335" customFormat="1">
      <c r="A1459" s="1334"/>
      <c r="B1459" s="1290"/>
      <c r="C1459" s="1290"/>
      <c r="G1459" s="1290"/>
      <c r="H1459" s="1290"/>
      <c r="I1459" s="1290"/>
      <c r="J1459" s="1290"/>
      <c r="K1459" s="1290"/>
      <c r="L1459" s="1290"/>
      <c r="M1459" s="1290"/>
      <c r="N1459" s="1290"/>
      <c r="O1459" s="1290"/>
      <c r="P1459" s="1290"/>
    </row>
    <row r="1460" spans="1:16" s="1335" customFormat="1">
      <c r="A1460" s="1334"/>
      <c r="B1460" s="1290"/>
      <c r="C1460" s="1290"/>
      <c r="G1460" s="1290"/>
      <c r="H1460" s="1290"/>
      <c r="I1460" s="1290"/>
      <c r="J1460" s="1290"/>
      <c r="K1460" s="1290"/>
      <c r="L1460" s="1290"/>
      <c r="M1460" s="1290"/>
      <c r="N1460" s="1290"/>
      <c r="O1460" s="1290"/>
      <c r="P1460" s="1290"/>
    </row>
    <row r="1461" spans="1:16" s="1335" customFormat="1">
      <c r="A1461" s="1334"/>
      <c r="B1461" s="1290"/>
      <c r="C1461" s="1290"/>
      <c r="G1461" s="1290"/>
      <c r="H1461" s="1290"/>
      <c r="I1461" s="1290"/>
      <c r="J1461" s="1290"/>
      <c r="K1461" s="1290"/>
      <c r="L1461" s="1290"/>
      <c r="M1461" s="1290"/>
      <c r="N1461" s="1290"/>
      <c r="O1461" s="1290"/>
      <c r="P1461" s="1290"/>
    </row>
    <row r="1462" spans="1:16" s="1335" customFormat="1">
      <c r="A1462" s="1334"/>
      <c r="B1462" s="1290"/>
      <c r="C1462" s="1290"/>
      <c r="G1462" s="1290"/>
      <c r="H1462" s="1290"/>
      <c r="I1462" s="1290"/>
      <c r="J1462" s="1290"/>
      <c r="K1462" s="1290"/>
      <c r="L1462" s="1290"/>
      <c r="M1462" s="1290"/>
      <c r="N1462" s="1290"/>
      <c r="O1462" s="1290"/>
      <c r="P1462" s="1290"/>
    </row>
    <row r="1463" spans="1:16" s="1335" customFormat="1">
      <c r="A1463" s="1334"/>
      <c r="B1463" s="1290"/>
      <c r="C1463" s="1290"/>
      <c r="G1463" s="1290"/>
      <c r="H1463" s="1290"/>
      <c r="I1463" s="1290"/>
      <c r="J1463" s="1290"/>
      <c r="K1463" s="1290"/>
      <c r="L1463" s="1290"/>
      <c r="M1463" s="1290"/>
      <c r="N1463" s="1290"/>
      <c r="O1463" s="1290"/>
      <c r="P1463" s="1290"/>
    </row>
    <row r="1464" spans="1:16" s="1335" customFormat="1">
      <c r="A1464" s="1334"/>
      <c r="B1464" s="1290"/>
      <c r="C1464" s="1290"/>
      <c r="G1464" s="1290"/>
      <c r="H1464" s="1290"/>
      <c r="I1464" s="1290"/>
      <c r="J1464" s="1290"/>
      <c r="K1464" s="1290"/>
      <c r="L1464" s="1290"/>
      <c r="M1464" s="1290"/>
      <c r="N1464" s="1290"/>
      <c r="O1464" s="1290"/>
      <c r="P1464" s="1290"/>
    </row>
    <row r="1465" spans="1:16" s="1335" customFormat="1">
      <c r="A1465" s="1334"/>
      <c r="B1465" s="1290"/>
      <c r="C1465" s="1290"/>
      <c r="G1465" s="1290"/>
      <c r="H1465" s="1290"/>
      <c r="I1465" s="1290"/>
      <c r="J1465" s="1290"/>
      <c r="K1465" s="1290"/>
      <c r="L1465" s="1290"/>
      <c r="M1465" s="1290"/>
      <c r="N1465" s="1290"/>
      <c r="O1465" s="1290"/>
      <c r="P1465" s="1290"/>
    </row>
    <row r="1466" spans="1:16" s="1335" customFormat="1">
      <c r="A1466" s="1334"/>
      <c r="B1466" s="1290"/>
      <c r="C1466" s="1290"/>
      <c r="G1466" s="1290"/>
      <c r="H1466" s="1290"/>
      <c r="I1466" s="1290"/>
      <c r="J1466" s="1290"/>
      <c r="K1466" s="1290"/>
      <c r="L1466" s="1290"/>
      <c r="M1466" s="1290"/>
      <c r="N1466" s="1290"/>
      <c r="O1466" s="1290"/>
      <c r="P1466" s="1290"/>
    </row>
    <row r="1467" spans="1:16" s="1335" customFormat="1">
      <c r="A1467" s="1334"/>
      <c r="B1467" s="1290"/>
      <c r="C1467" s="1290"/>
      <c r="G1467" s="1290"/>
      <c r="H1467" s="1290"/>
      <c r="I1467" s="1290"/>
      <c r="J1467" s="1290"/>
      <c r="K1467" s="1290"/>
      <c r="L1467" s="1290"/>
      <c r="M1467" s="1290"/>
      <c r="N1467" s="1290"/>
      <c r="O1467" s="1290"/>
      <c r="P1467" s="1290"/>
    </row>
    <row r="1468" spans="1:16" s="1335" customFormat="1">
      <c r="A1468" s="1334"/>
      <c r="B1468" s="1290"/>
      <c r="C1468" s="1290"/>
      <c r="G1468" s="1290"/>
      <c r="H1468" s="1290"/>
      <c r="I1468" s="1290"/>
      <c r="J1468" s="1290"/>
      <c r="K1468" s="1290"/>
      <c r="L1468" s="1290"/>
      <c r="M1468" s="1290"/>
      <c r="N1468" s="1290"/>
      <c r="O1468" s="1290"/>
      <c r="P1468" s="1290"/>
    </row>
    <row r="1469" spans="1:16" s="1335" customFormat="1">
      <c r="A1469" s="1334"/>
      <c r="B1469" s="1290"/>
      <c r="C1469" s="1290"/>
      <c r="G1469" s="1290"/>
      <c r="H1469" s="1290"/>
      <c r="I1469" s="1290"/>
      <c r="J1469" s="1290"/>
      <c r="K1469" s="1290"/>
      <c r="L1469" s="1290"/>
      <c r="M1469" s="1290"/>
      <c r="N1469" s="1290"/>
      <c r="O1469" s="1290"/>
      <c r="P1469" s="1290"/>
    </row>
    <row r="1470" spans="1:16" s="1335" customFormat="1">
      <c r="A1470" s="1334"/>
      <c r="B1470" s="1290"/>
      <c r="C1470" s="1290"/>
      <c r="G1470" s="1290"/>
      <c r="H1470" s="1290"/>
      <c r="I1470" s="1290"/>
      <c r="J1470" s="1290"/>
      <c r="K1470" s="1290"/>
      <c r="L1470" s="1290"/>
      <c r="M1470" s="1290"/>
      <c r="N1470" s="1290"/>
      <c r="O1470" s="1290"/>
      <c r="P1470" s="1290"/>
    </row>
    <row r="1471" spans="1:16" s="1335" customFormat="1">
      <c r="A1471" s="1334"/>
      <c r="B1471" s="1290"/>
      <c r="C1471" s="1290"/>
      <c r="G1471" s="1290"/>
      <c r="H1471" s="1290"/>
      <c r="I1471" s="1290"/>
      <c r="J1471" s="1290"/>
      <c r="K1471" s="1290"/>
      <c r="L1471" s="1290"/>
      <c r="M1471" s="1290"/>
      <c r="N1471" s="1290"/>
      <c r="O1471" s="1290"/>
      <c r="P1471" s="1290"/>
    </row>
    <row r="1472" spans="1:16" s="1335" customFormat="1">
      <c r="A1472" s="1334"/>
      <c r="B1472" s="1290"/>
      <c r="C1472" s="1290"/>
      <c r="G1472" s="1290"/>
      <c r="H1472" s="1290"/>
      <c r="I1472" s="1290"/>
      <c r="J1472" s="1290"/>
      <c r="K1472" s="1290"/>
      <c r="L1472" s="1290"/>
      <c r="M1472" s="1290"/>
      <c r="N1472" s="1290"/>
      <c r="O1472" s="1290"/>
      <c r="P1472" s="1290"/>
    </row>
    <row r="1473" spans="1:16" s="1335" customFormat="1">
      <c r="A1473" s="1334"/>
      <c r="B1473" s="1290"/>
      <c r="C1473" s="1290"/>
      <c r="G1473" s="1290"/>
      <c r="H1473" s="1290"/>
      <c r="I1473" s="1290"/>
      <c r="J1473" s="1290"/>
      <c r="K1473" s="1290"/>
      <c r="L1473" s="1290"/>
      <c r="M1473" s="1290"/>
      <c r="N1473" s="1290"/>
      <c r="O1473" s="1290"/>
      <c r="P1473" s="1290"/>
    </row>
    <row r="1474" spans="1:16" s="1335" customFormat="1">
      <c r="A1474" s="1334"/>
      <c r="B1474" s="1290"/>
      <c r="C1474" s="1290"/>
      <c r="G1474" s="1290"/>
      <c r="H1474" s="1290"/>
      <c r="I1474" s="1290"/>
      <c r="J1474" s="1290"/>
      <c r="K1474" s="1290"/>
      <c r="L1474" s="1290"/>
      <c r="M1474" s="1290"/>
      <c r="N1474" s="1290"/>
      <c r="O1474" s="1290"/>
      <c r="P1474" s="1290"/>
    </row>
    <row r="1475" spans="1:16" s="1335" customFormat="1">
      <c r="A1475" s="1334"/>
      <c r="B1475" s="1290"/>
      <c r="C1475" s="1290"/>
      <c r="G1475" s="1290"/>
      <c r="H1475" s="1290"/>
      <c r="I1475" s="1290"/>
      <c r="J1475" s="1290"/>
      <c r="K1475" s="1290"/>
      <c r="L1475" s="1290"/>
      <c r="M1475" s="1290"/>
      <c r="N1475" s="1290"/>
      <c r="O1475" s="1290"/>
      <c r="P1475" s="1290"/>
    </row>
    <row r="1476" spans="1:16" s="1335" customFormat="1">
      <c r="A1476" s="1334"/>
      <c r="B1476" s="1290"/>
      <c r="C1476" s="1290"/>
      <c r="G1476" s="1290"/>
      <c r="H1476" s="1290"/>
      <c r="I1476" s="1290"/>
      <c r="J1476" s="1290"/>
      <c r="K1476" s="1290"/>
      <c r="L1476" s="1290"/>
      <c r="M1476" s="1290"/>
      <c r="N1476" s="1290"/>
      <c r="O1476" s="1290"/>
      <c r="P1476" s="1290"/>
    </row>
    <row r="1477" spans="1:16" s="1335" customFormat="1">
      <c r="A1477" s="1334"/>
      <c r="B1477" s="1290"/>
      <c r="C1477" s="1290"/>
      <c r="G1477" s="1290"/>
      <c r="H1477" s="1290"/>
      <c r="I1477" s="1290"/>
      <c r="J1477" s="1290"/>
      <c r="K1477" s="1290"/>
      <c r="L1477" s="1290"/>
      <c r="M1477" s="1290"/>
      <c r="N1477" s="1290"/>
      <c r="O1477" s="1290"/>
      <c r="P1477" s="1290"/>
    </row>
    <row r="1478" spans="1:16" s="1335" customFormat="1">
      <c r="A1478" s="1334"/>
      <c r="B1478" s="1290"/>
      <c r="C1478" s="1290"/>
      <c r="G1478" s="1290"/>
      <c r="H1478" s="1290"/>
      <c r="I1478" s="1290"/>
      <c r="J1478" s="1290"/>
      <c r="K1478" s="1290"/>
      <c r="L1478" s="1290"/>
      <c r="M1478" s="1290"/>
      <c r="N1478" s="1290"/>
      <c r="O1478" s="1290"/>
      <c r="P1478" s="1290"/>
    </row>
    <row r="1479" spans="1:16" s="1335" customFormat="1">
      <c r="A1479" s="1334"/>
      <c r="B1479" s="1290"/>
      <c r="C1479" s="1290"/>
      <c r="G1479" s="1290"/>
      <c r="H1479" s="1290"/>
      <c r="I1479" s="1290"/>
      <c r="J1479" s="1290"/>
      <c r="K1479" s="1290"/>
      <c r="L1479" s="1290"/>
      <c r="M1479" s="1290"/>
      <c r="N1479" s="1290"/>
      <c r="O1479" s="1290"/>
      <c r="P1479" s="1290"/>
    </row>
    <row r="1480" spans="1:16" s="1335" customFormat="1">
      <c r="A1480" s="1334"/>
      <c r="B1480" s="1290"/>
      <c r="C1480" s="1290"/>
      <c r="G1480" s="1290"/>
      <c r="H1480" s="1290"/>
      <c r="I1480" s="1290"/>
      <c r="J1480" s="1290"/>
      <c r="K1480" s="1290"/>
      <c r="L1480" s="1290"/>
      <c r="M1480" s="1290"/>
      <c r="N1480" s="1290"/>
      <c r="O1480" s="1290"/>
      <c r="P1480" s="1290"/>
    </row>
    <row r="1481" spans="1:16" s="1335" customFormat="1">
      <c r="A1481" s="1334"/>
      <c r="B1481" s="1290"/>
      <c r="C1481" s="1290"/>
      <c r="G1481" s="1290"/>
      <c r="H1481" s="1290"/>
      <c r="I1481" s="1290"/>
      <c r="J1481" s="1290"/>
      <c r="K1481" s="1290"/>
      <c r="L1481" s="1290"/>
      <c r="M1481" s="1290"/>
      <c r="N1481" s="1290"/>
      <c r="O1481" s="1290"/>
      <c r="P1481" s="1290"/>
    </row>
    <row r="1482" spans="1:16" s="1335" customFormat="1">
      <c r="A1482" s="1334"/>
      <c r="B1482" s="1290"/>
      <c r="C1482" s="1290"/>
      <c r="G1482" s="1290"/>
      <c r="H1482" s="1290"/>
      <c r="I1482" s="1290"/>
      <c r="J1482" s="1290"/>
      <c r="K1482" s="1290"/>
      <c r="L1482" s="1290"/>
      <c r="M1482" s="1290"/>
      <c r="N1482" s="1290"/>
      <c r="O1482" s="1290"/>
      <c r="P1482" s="1290"/>
    </row>
    <row r="1483" spans="1:16" s="1335" customFormat="1">
      <c r="A1483" s="1334"/>
      <c r="B1483" s="1290"/>
      <c r="C1483" s="1290"/>
      <c r="G1483" s="1290"/>
      <c r="H1483" s="1290"/>
      <c r="I1483" s="1290"/>
      <c r="J1483" s="1290"/>
      <c r="K1483" s="1290"/>
      <c r="L1483" s="1290"/>
      <c r="M1483" s="1290"/>
      <c r="N1483" s="1290"/>
      <c r="O1483" s="1290"/>
      <c r="P1483" s="1290"/>
    </row>
    <row r="1484" spans="1:16" s="1335" customFormat="1">
      <c r="A1484" s="1334"/>
      <c r="B1484" s="1290"/>
      <c r="C1484" s="1290"/>
      <c r="G1484" s="1290"/>
      <c r="H1484" s="1290"/>
      <c r="I1484" s="1290"/>
      <c r="J1484" s="1290"/>
      <c r="K1484" s="1290"/>
      <c r="L1484" s="1290"/>
      <c r="M1484" s="1290"/>
      <c r="N1484" s="1290"/>
      <c r="O1484" s="1290"/>
      <c r="P1484" s="1290"/>
    </row>
    <row r="1485" spans="1:16" s="1335" customFormat="1">
      <c r="A1485" s="1334"/>
      <c r="B1485" s="1290"/>
      <c r="C1485" s="1290"/>
      <c r="G1485" s="1290"/>
      <c r="H1485" s="1290"/>
      <c r="I1485" s="1290"/>
      <c r="J1485" s="1290"/>
      <c r="K1485" s="1290"/>
      <c r="L1485" s="1290"/>
      <c r="M1485" s="1290"/>
      <c r="N1485" s="1290"/>
      <c r="O1485" s="1290"/>
      <c r="P1485" s="1290"/>
    </row>
    <row r="1486" spans="1:16" s="1335" customFormat="1">
      <c r="A1486" s="1334"/>
      <c r="B1486" s="1290"/>
      <c r="C1486" s="1290"/>
      <c r="G1486" s="1290"/>
      <c r="H1486" s="1290"/>
      <c r="I1486" s="1290"/>
      <c r="J1486" s="1290"/>
      <c r="K1486" s="1290"/>
      <c r="L1486" s="1290"/>
      <c r="M1486" s="1290"/>
      <c r="N1486" s="1290"/>
      <c r="O1486" s="1290"/>
      <c r="P1486" s="1290"/>
    </row>
    <row r="1487" spans="1:16" s="1335" customFormat="1">
      <c r="A1487" s="1334"/>
      <c r="B1487" s="1290"/>
      <c r="C1487" s="1290"/>
      <c r="G1487" s="1290"/>
      <c r="H1487" s="1290"/>
      <c r="I1487" s="1290"/>
      <c r="J1487" s="1290"/>
      <c r="K1487" s="1290"/>
      <c r="L1487" s="1290"/>
      <c r="M1487" s="1290"/>
      <c r="N1487" s="1290"/>
      <c r="O1487" s="1290"/>
      <c r="P1487" s="1290"/>
    </row>
    <row r="1488" spans="1:16" s="1335" customFormat="1">
      <c r="A1488" s="1334"/>
      <c r="B1488" s="1290"/>
      <c r="C1488" s="1290"/>
      <c r="G1488" s="1290"/>
      <c r="H1488" s="1290"/>
      <c r="I1488" s="1290"/>
      <c r="J1488" s="1290"/>
      <c r="K1488" s="1290"/>
      <c r="L1488" s="1290"/>
      <c r="M1488" s="1290"/>
      <c r="N1488" s="1290"/>
      <c r="O1488" s="1290"/>
      <c r="P1488" s="1290"/>
    </row>
    <row r="1489" spans="1:16" s="1335" customFormat="1">
      <c r="A1489" s="1334"/>
      <c r="B1489" s="1290"/>
      <c r="C1489" s="1290"/>
      <c r="G1489" s="1290"/>
      <c r="H1489" s="1290"/>
      <c r="I1489" s="1290"/>
      <c r="J1489" s="1290"/>
      <c r="K1489" s="1290"/>
      <c r="L1489" s="1290"/>
      <c r="M1489" s="1290"/>
      <c r="N1489" s="1290"/>
      <c r="O1489" s="1290"/>
      <c r="P1489" s="1290"/>
    </row>
    <row r="1490" spans="1:16" s="1335" customFormat="1">
      <c r="A1490" s="1334"/>
      <c r="B1490" s="1290"/>
      <c r="C1490" s="1290"/>
      <c r="G1490" s="1290"/>
      <c r="H1490" s="1290"/>
      <c r="I1490" s="1290"/>
      <c r="J1490" s="1290"/>
      <c r="K1490" s="1290"/>
      <c r="L1490" s="1290"/>
      <c r="M1490" s="1290"/>
      <c r="N1490" s="1290"/>
      <c r="O1490" s="1290"/>
      <c r="P1490" s="1290"/>
    </row>
    <row r="1491" spans="1:16" s="1335" customFormat="1">
      <c r="A1491" s="1334"/>
      <c r="B1491" s="1290"/>
      <c r="C1491" s="1290"/>
      <c r="G1491" s="1290"/>
      <c r="H1491" s="1290"/>
      <c r="I1491" s="1290"/>
      <c r="J1491" s="1290"/>
      <c r="K1491" s="1290"/>
      <c r="L1491" s="1290"/>
      <c r="M1491" s="1290"/>
      <c r="N1491" s="1290"/>
      <c r="O1491" s="1290"/>
      <c r="P1491" s="1290"/>
    </row>
    <row r="1492" spans="1:16" s="1335" customFormat="1">
      <c r="A1492" s="1334"/>
      <c r="B1492" s="1290"/>
      <c r="C1492" s="1290"/>
      <c r="G1492" s="1290"/>
      <c r="H1492" s="1290"/>
      <c r="I1492" s="1290"/>
      <c r="J1492" s="1290"/>
      <c r="K1492" s="1290"/>
      <c r="L1492" s="1290"/>
      <c r="M1492" s="1290"/>
      <c r="N1492" s="1290"/>
      <c r="O1492" s="1290"/>
      <c r="P1492" s="1290"/>
    </row>
    <row r="1493" spans="1:16" s="1335" customFormat="1">
      <c r="A1493" s="1334"/>
      <c r="B1493" s="1290"/>
      <c r="C1493" s="1290"/>
      <c r="G1493" s="1290"/>
      <c r="H1493" s="1290"/>
      <c r="I1493" s="1290"/>
      <c r="J1493" s="1290"/>
      <c r="K1493" s="1290"/>
      <c r="L1493" s="1290"/>
      <c r="M1493" s="1290"/>
      <c r="N1493" s="1290"/>
      <c r="O1493" s="1290"/>
      <c r="P1493" s="1290"/>
    </row>
    <row r="1494" spans="1:16" s="1335" customFormat="1">
      <c r="A1494" s="1334"/>
      <c r="B1494" s="1290"/>
      <c r="C1494" s="1290"/>
      <c r="G1494" s="1290"/>
      <c r="H1494" s="1290"/>
      <c r="I1494" s="1290"/>
      <c r="J1494" s="1290"/>
      <c r="K1494" s="1290"/>
      <c r="L1494" s="1290"/>
      <c r="M1494" s="1290"/>
      <c r="N1494" s="1290"/>
      <c r="O1494" s="1290"/>
      <c r="P1494" s="1290"/>
    </row>
    <row r="1495" spans="1:16" s="1335" customFormat="1">
      <c r="A1495" s="1334"/>
      <c r="B1495" s="1290"/>
      <c r="C1495" s="1290"/>
      <c r="G1495" s="1290"/>
      <c r="H1495" s="1290"/>
      <c r="I1495" s="1290"/>
      <c r="J1495" s="1290"/>
      <c r="K1495" s="1290"/>
      <c r="L1495" s="1290"/>
      <c r="M1495" s="1290"/>
      <c r="N1495" s="1290"/>
      <c r="O1495" s="1290"/>
      <c r="P1495" s="1290"/>
    </row>
    <row r="1496" spans="1:16" s="1335" customFormat="1">
      <c r="A1496" s="1334"/>
      <c r="B1496" s="1290"/>
      <c r="C1496" s="1290"/>
      <c r="G1496" s="1290"/>
      <c r="H1496" s="1290"/>
      <c r="I1496" s="1290"/>
      <c r="J1496" s="1290"/>
      <c r="K1496" s="1290"/>
      <c r="L1496" s="1290"/>
      <c r="M1496" s="1290"/>
      <c r="N1496" s="1290"/>
      <c r="O1496" s="1290"/>
      <c r="P1496" s="1290"/>
    </row>
    <row r="1497" spans="1:16" s="1335" customFormat="1">
      <c r="A1497" s="1334"/>
      <c r="B1497" s="1290"/>
      <c r="C1497" s="1290"/>
      <c r="G1497" s="1290"/>
      <c r="H1497" s="1290"/>
      <c r="I1497" s="1290"/>
      <c r="J1497" s="1290"/>
      <c r="K1497" s="1290"/>
      <c r="L1497" s="1290"/>
      <c r="M1497" s="1290"/>
      <c r="N1497" s="1290"/>
      <c r="O1497" s="1290"/>
      <c r="P1497" s="1290"/>
    </row>
    <row r="1498" spans="1:16" s="1335" customFormat="1">
      <c r="A1498" s="1334"/>
      <c r="B1498" s="1290"/>
      <c r="C1498" s="1290"/>
      <c r="G1498" s="1290"/>
      <c r="H1498" s="1290"/>
      <c r="I1498" s="1290"/>
      <c r="J1498" s="1290"/>
      <c r="K1498" s="1290"/>
      <c r="L1498" s="1290"/>
      <c r="M1498" s="1290"/>
      <c r="N1498" s="1290"/>
      <c r="O1498" s="1290"/>
      <c r="P1498" s="1290"/>
    </row>
    <row r="1499" spans="1:16" s="1335" customFormat="1">
      <c r="A1499" s="1334"/>
      <c r="B1499" s="1290"/>
      <c r="C1499" s="1290"/>
      <c r="G1499" s="1290"/>
      <c r="H1499" s="1290"/>
      <c r="I1499" s="1290"/>
      <c r="J1499" s="1290"/>
      <c r="K1499" s="1290"/>
      <c r="L1499" s="1290"/>
      <c r="M1499" s="1290"/>
      <c r="N1499" s="1290"/>
      <c r="O1499" s="1290"/>
      <c r="P1499" s="1290"/>
    </row>
    <row r="1500" spans="1:16" s="1335" customFormat="1">
      <c r="A1500" s="1334"/>
      <c r="B1500" s="1290"/>
      <c r="C1500" s="1290"/>
      <c r="G1500" s="1290"/>
      <c r="H1500" s="1290"/>
      <c r="I1500" s="1290"/>
      <c r="J1500" s="1290"/>
      <c r="K1500" s="1290"/>
      <c r="L1500" s="1290"/>
      <c r="M1500" s="1290"/>
      <c r="N1500" s="1290"/>
      <c r="O1500" s="1290"/>
      <c r="P1500" s="1290"/>
    </row>
    <row r="1501" spans="1:16" s="1335" customFormat="1">
      <c r="A1501" s="1334"/>
      <c r="B1501" s="1290"/>
      <c r="C1501" s="1290"/>
      <c r="G1501" s="1290"/>
      <c r="H1501" s="1290"/>
      <c r="I1501" s="1290"/>
      <c r="J1501" s="1290"/>
      <c r="K1501" s="1290"/>
      <c r="L1501" s="1290"/>
      <c r="M1501" s="1290"/>
      <c r="N1501" s="1290"/>
      <c r="O1501" s="1290"/>
      <c r="P1501" s="1290"/>
    </row>
    <row r="1502" spans="1:16" s="1335" customFormat="1">
      <c r="A1502" s="1334"/>
      <c r="B1502" s="1290"/>
      <c r="C1502" s="1290"/>
      <c r="G1502" s="1290"/>
      <c r="H1502" s="1290"/>
      <c r="I1502" s="1290"/>
      <c r="J1502" s="1290"/>
      <c r="K1502" s="1290"/>
      <c r="L1502" s="1290"/>
      <c r="M1502" s="1290"/>
      <c r="N1502" s="1290"/>
      <c r="O1502" s="1290"/>
      <c r="P1502" s="1290"/>
    </row>
    <row r="1503" spans="1:16" s="1335" customFormat="1">
      <c r="A1503" s="1334"/>
      <c r="B1503" s="1290"/>
      <c r="C1503" s="1290"/>
      <c r="G1503" s="1290"/>
      <c r="H1503" s="1290"/>
      <c r="I1503" s="1290"/>
      <c r="J1503" s="1290"/>
      <c r="K1503" s="1290"/>
      <c r="L1503" s="1290"/>
      <c r="M1503" s="1290"/>
      <c r="N1503" s="1290"/>
      <c r="O1503" s="1290"/>
      <c r="P1503" s="1290"/>
    </row>
    <row r="1504" spans="1:16" s="1335" customFormat="1">
      <c r="A1504" s="1334"/>
      <c r="B1504" s="1290"/>
      <c r="C1504" s="1290"/>
      <c r="G1504" s="1290"/>
      <c r="H1504" s="1290"/>
      <c r="I1504" s="1290"/>
      <c r="J1504" s="1290"/>
      <c r="K1504" s="1290"/>
      <c r="L1504" s="1290"/>
      <c r="M1504" s="1290"/>
      <c r="N1504" s="1290"/>
      <c r="O1504" s="1290"/>
      <c r="P1504" s="1290"/>
    </row>
    <row r="1505" spans="1:16" s="1335" customFormat="1">
      <c r="A1505" s="1334"/>
      <c r="B1505" s="1290"/>
      <c r="C1505" s="1290"/>
      <c r="G1505" s="1290"/>
      <c r="H1505" s="1290"/>
      <c r="I1505" s="1290"/>
      <c r="J1505" s="1290"/>
      <c r="K1505" s="1290"/>
      <c r="L1505" s="1290"/>
      <c r="M1505" s="1290"/>
      <c r="N1505" s="1290"/>
      <c r="O1505" s="1290"/>
      <c r="P1505" s="1290"/>
    </row>
    <row r="1506" spans="1:16" s="1335" customFormat="1">
      <c r="A1506" s="1334"/>
      <c r="B1506" s="1290"/>
      <c r="C1506" s="1290"/>
      <c r="G1506" s="1290"/>
      <c r="H1506" s="1290"/>
      <c r="I1506" s="1290"/>
      <c r="J1506" s="1290"/>
      <c r="K1506" s="1290"/>
      <c r="L1506" s="1290"/>
      <c r="M1506" s="1290"/>
      <c r="N1506" s="1290"/>
      <c r="O1506" s="1290"/>
      <c r="P1506" s="1290"/>
    </row>
    <row r="1507" spans="1:16" s="1335" customFormat="1">
      <c r="A1507" s="1334"/>
      <c r="B1507" s="1290"/>
      <c r="C1507" s="1290"/>
      <c r="G1507" s="1290"/>
      <c r="H1507" s="1290"/>
      <c r="I1507" s="1290"/>
      <c r="J1507" s="1290"/>
      <c r="K1507" s="1290"/>
      <c r="L1507" s="1290"/>
      <c r="M1507" s="1290"/>
      <c r="N1507" s="1290"/>
      <c r="O1507" s="1290"/>
      <c r="P1507" s="1290"/>
    </row>
    <row r="1508" spans="1:16" s="1335" customFormat="1">
      <c r="A1508" s="1334"/>
      <c r="B1508" s="1290"/>
      <c r="C1508" s="1290"/>
      <c r="G1508" s="1290"/>
      <c r="H1508" s="1290"/>
      <c r="I1508" s="1290"/>
      <c r="J1508" s="1290"/>
      <c r="K1508" s="1290"/>
      <c r="L1508" s="1290"/>
      <c r="M1508" s="1290"/>
      <c r="N1508" s="1290"/>
      <c r="O1508" s="1290"/>
      <c r="P1508" s="1290"/>
    </row>
    <row r="1509" spans="1:16" s="1335" customFormat="1">
      <c r="A1509" s="1334"/>
      <c r="B1509" s="1290"/>
      <c r="C1509" s="1290"/>
      <c r="G1509" s="1290"/>
      <c r="H1509" s="1290"/>
      <c r="I1509" s="1290"/>
      <c r="J1509" s="1290"/>
      <c r="K1509" s="1290"/>
      <c r="L1509" s="1290"/>
      <c r="M1509" s="1290"/>
      <c r="N1509" s="1290"/>
      <c r="O1509" s="1290"/>
      <c r="P1509" s="1290"/>
    </row>
    <row r="1510" spans="1:16" s="1335" customFormat="1">
      <c r="A1510" s="1334"/>
      <c r="B1510" s="1290"/>
      <c r="C1510" s="1290"/>
      <c r="G1510" s="1290"/>
      <c r="H1510" s="1290"/>
      <c r="I1510" s="1290"/>
      <c r="J1510" s="1290"/>
      <c r="K1510" s="1290"/>
      <c r="L1510" s="1290"/>
      <c r="M1510" s="1290"/>
      <c r="N1510" s="1290"/>
      <c r="O1510" s="1290"/>
      <c r="P1510" s="1290"/>
    </row>
    <row r="1511" spans="1:16" s="1335" customFormat="1">
      <c r="A1511" s="1334"/>
      <c r="B1511" s="1290"/>
      <c r="C1511" s="1290"/>
      <c r="G1511" s="1290"/>
      <c r="H1511" s="1290"/>
      <c r="I1511" s="1290"/>
      <c r="J1511" s="1290"/>
      <c r="K1511" s="1290"/>
      <c r="L1511" s="1290"/>
      <c r="M1511" s="1290"/>
      <c r="N1511" s="1290"/>
      <c r="O1511" s="1290"/>
      <c r="P1511" s="1290"/>
    </row>
    <row r="1512" spans="1:16" s="1335" customFormat="1">
      <c r="A1512" s="1334"/>
      <c r="B1512" s="1290"/>
      <c r="C1512" s="1290"/>
      <c r="G1512" s="1290"/>
      <c r="H1512" s="1290"/>
      <c r="I1512" s="1290"/>
      <c r="J1512" s="1290"/>
      <c r="K1512" s="1290"/>
      <c r="L1512" s="1290"/>
      <c r="M1512" s="1290"/>
      <c r="N1512" s="1290"/>
      <c r="O1512" s="1290"/>
      <c r="P1512" s="1290"/>
    </row>
    <row r="1513" spans="1:16" s="1335" customFormat="1">
      <c r="A1513" s="1334"/>
      <c r="B1513" s="1290"/>
      <c r="C1513" s="1290"/>
      <c r="G1513" s="1290"/>
      <c r="H1513" s="1290"/>
      <c r="I1513" s="1290"/>
      <c r="J1513" s="1290"/>
      <c r="K1513" s="1290"/>
      <c r="L1513" s="1290"/>
      <c r="M1513" s="1290"/>
      <c r="N1513" s="1290"/>
      <c r="O1513" s="1290"/>
      <c r="P1513" s="1290"/>
    </row>
    <row r="1514" spans="1:16" s="1335" customFormat="1">
      <c r="A1514" s="1334"/>
      <c r="B1514" s="1290"/>
      <c r="C1514" s="1290"/>
      <c r="G1514" s="1290"/>
      <c r="H1514" s="1290"/>
      <c r="I1514" s="1290"/>
      <c r="J1514" s="1290"/>
      <c r="K1514" s="1290"/>
      <c r="L1514" s="1290"/>
      <c r="M1514" s="1290"/>
      <c r="N1514" s="1290"/>
      <c r="O1514" s="1290"/>
      <c r="P1514" s="1290"/>
    </row>
    <row r="1515" spans="1:16" s="1335" customFormat="1">
      <c r="A1515" s="1334"/>
      <c r="B1515" s="1290"/>
      <c r="C1515" s="1290"/>
      <c r="G1515" s="1290"/>
      <c r="H1515" s="1290"/>
      <c r="I1515" s="1290"/>
      <c r="J1515" s="1290"/>
      <c r="K1515" s="1290"/>
      <c r="L1515" s="1290"/>
      <c r="M1515" s="1290"/>
      <c r="N1515" s="1290"/>
      <c r="O1515" s="1290"/>
      <c r="P1515" s="1290"/>
    </row>
    <row r="1516" spans="1:16" s="1335" customFormat="1">
      <c r="A1516" s="1334"/>
      <c r="B1516" s="1290"/>
      <c r="C1516" s="1290"/>
      <c r="G1516" s="1290"/>
      <c r="H1516" s="1290"/>
      <c r="I1516" s="1290"/>
      <c r="J1516" s="1290"/>
      <c r="K1516" s="1290"/>
      <c r="L1516" s="1290"/>
      <c r="M1516" s="1290"/>
      <c r="N1516" s="1290"/>
      <c r="O1516" s="1290"/>
      <c r="P1516" s="1290"/>
    </row>
    <row r="1517" spans="1:16" s="1335" customFormat="1">
      <c r="A1517" s="1334"/>
      <c r="B1517" s="1290"/>
      <c r="C1517" s="1290"/>
      <c r="G1517" s="1290"/>
      <c r="H1517" s="1290"/>
      <c r="I1517" s="1290"/>
      <c r="J1517" s="1290"/>
      <c r="K1517" s="1290"/>
      <c r="L1517" s="1290"/>
      <c r="M1517" s="1290"/>
      <c r="N1517" s="1290"/>
      <c r="O1517" s="1290"/>
      <c r="P1517" s="1290"/>
    </row>
    <row r="1518" spans="1:16" s="1335" customFormat="1">
      <c r="A1518" s="1334"/>
      <c r="B1518" s="1290"/>
      <c r="C1518" s="1290"/>
      <c r="G1518" s="1290"/>
      <c r="H1518" s="1290"/>
      <c r="I1518" s="1290"/>
      <c r="J1518" s="1290"/>
      <c r="K1518" s="1290"/>
      <c r="L1518" s="1290"/>
      <c r="M1518" s="1290"/>
      <c r="N1518" s="1290"/>
      <c r="O1518" s="1290"/>
      <c r="P1518" s="1290"/>
    </row>
    <row r="1519" spans="1:16" s="1335" customFormat="1">
      <c r="A1519" s="1334"/>
      <c r="B1519" s="1290"/>
      <c r="C1519" s="1290"/>
      <c r="G1519" s="1290"/>
      <c r="H1519" s="1290"/>
      <c r="I1519" s="1290"/>
      <c r="J1519" s="1290"/>
      <c r="K1519" s="1290"/>
      <c r="L1519" s="1290"/>
      <c r="M1519" s="1290"/>
      <c r="N1519" s="1290"/>
      <c r="O1519" s="1290"/>
      <c r="P1519" s="1290"/>
    </row>
    <row r="1520" spans="1:16" s="1335" customFormat="1">
      <c r="A1520" s="1334"/>
      <c r="B1520" s="1290"/>
      <c r="C1520" s="1290"/>
      <c r="G1520" s="1290"/>
      <c r="H1520" s="1290"/>
      <c r="I1520" s="1290"/>
      <c r="J1520" s="1290"/>
      <c r="K1520" s="1290"/>
      <c r="L1520" s="1290"/>
      <c r="M1520" s="1290"/>
      <c r="N1520" s="1290"/>
      <c r="O1520" s="1290"/>
      <c r="P1520" s="1290"/>
    </row>
    <row r="1521" spans="1:16" s="1335" customFormat="1">
      <c r="A1521" s="1334"/>
      <c r="B1521" s="1290"/>
      <c r="C1521" s="1290"/>
      <c r="G1521" s="1290"/>
      <c r="H1521" s="1290"/>
      <c r="I1521" s="1290"/>
      <c r="J1521" s="1290"/>
      <c r="K1521" s="1290"/>
      <c r="L1521" s="1290"/>
      <c r="M1521" s="1290"/>
      <c r="N1521" s="1290"/>
      <c r="O1521" s="1290"/>
      <c r="P1521" s="1290"/>
    </row>
    <row r="1522" spans="1:16" s="1335" customFormat="1">
      <c r="A1522" s="1334"/>
      <c r="B1522" s="1290"/>
      <c r="C1522" s="1290"/>
      <c r="G1522" s="1290"/>
      <c r="H1522" s="1290"/>
      <c r="I1522" s="1290"/>
      <c r="J1522" s="1290"/>
      <c r="K1522" s="1290"/>
      <c r="L1522" s="1290"/>
      <c r="M1522" s="1290"/>
      <c r="N1522" s="1290"/>
      <c r="O1522" s="1290"/>
      <c r="P1522" s="1290"/>
    </row>
    <row r="1523" spans="1:16" s="1335" customFormat="1">
      <c r="A1523" s="1334"/>
      <c r="B1523" s="1290"/>
      <c r="C1523" s="1290"/>
      <c r="G1523" s="1290"/>
      <c r="H1523" s="1290"/>
      <c r="I1523" s="1290"/>
      <c r="J1523" s="1290"/>
      <c r="K1523" s="1290"/>
      <c r="L1523" s="1290"/>
      <c r="M1523" s="1290"/>
      <c r="N1523" s="1290"/>
      <c r="O1523" s="1290"/>
      <c r="P1523" s="1290"/>
    </row>
    <row r="1524" spans="1:16" s="1335" customFormat="1">
      <c r="A1524" s="1334"/>
      <c r="B1524" s="1290"/>
      <c r="C1524" s="1290"/>
      <c r="G1524" s="1290"/>
      <c r="H1524" s="1290"/>
      <c r="I1524" s="1290"/>
      <c r="J1524" s="1290"/>
      <c r="K1524" s="1290"/>
      <c r="L1524" s="1290"/>
      <c r="M1524" s="1290"/>
      <c r="N1524" s="1290"/>
      <c r="O1524" s="1290"/>
      <c r="P1524" s="1290"/>
    </row>
    <row r="1525" spans="1:16" s="1335" customFormat="1">
      <c r="A1525" s="1334"/>
      <c r="B1525" s="1290"/>
      <c r="C1525" s="1290"/>
      <c r="G1525" s="1290"/>
      <c r="H1525" s="1290"/>
      <c r="I1525" s="1290"/>
      <c r="J1525" s="1290"/>
      <c r="K1525" s="1290"/>
      <c r="L1525" s="1290"/>
      <c r="M1525" s="1290"/>
      <c r="N1525" s="1290"/>
      <c r="O1525" s="1290"/>
      <c r="P1525" s="1290"/>
    </row>
    <row r="1526" spans="1:16" s="1335" customFormat="1">
      <c r="A1526" s="1334"/>
      <c r="B1526" s="1290"/>
      <c r="C1526" s="1290"/>
      <c r="G1526" s="1290"/>
      <c r="H1526" s="1290"/>
      <c r="I1526" s="1290"/>
      <c r="J1526" s="1290"/>
      <c r="K1526" s="1290"/>
      <c r="L1526" s="1290"/>
      <c r="M1526" s="1290"/>
      <c r="N1526" s="1290"/>
      <c r="O1526" s="1290"/>
      <c r="P1526" s="1290"/>
    </row>
    <row r="1527" spans="1:16" s="1335" customFormat="1">
      <c r="A1527" s="1334"/>
      <c r="B1527" s="1290"/>
      <c r="C1527" s="1290"/>
      <c r="G1527" s="1290"/>
      <c r="H1527" s="1290"/>
      <c r="I1527" s="1290"/>
      <c r="J1527" s="1290"/>
      <c r="K1527" s="1290"/>
      <c r="L1527" s="1290"/>
      <c r="M1527" s="1290"/>
      <c r="N1527" s="1290"/>
      <c r="O1527" s="1290"/>
      <c r="P1527" s="1290"/>
    </row>
    <row r="1528" spans="1:16" s="1335" customFormat="1">
      <c r="A1528" s="1334"/>
      <c r="B1528" s="1290"/>
      <c r="C1528" s="1290"/>
      <c r="G1528" s="1290"/>
      <c r="H1528" s="1290"/>
      <c r="I1528" s="1290"/>
      <c r="J1528" s="1290"/>
      <c r="K1528" s="1290"/>
      <c r="L1528" s="1290"/>
      <c r="M1528" s="1290"/>
      <c r="N1528" s="1290"/>
      <c r="O1528" s="1290"/>
      <c r="P1528" s="1290"/>
    </row>
    <row r="1529" spans="1:16" s="1335" customFormat="1">
      <c r="A1529" s="1334"/>
      <c r="B1529" s="1290"/>
      <c r="C1529" s="1290"/>
      <c r="G1529" s="1290"/>
      <c r="H1529" s="1290"/>
      <c r="I1529" s="1290"/>
      <c r="J1529" s="1290"/>
      <c r="K1529" s="1290"/>
      <c r="L1529" s="1290"/>
      <c r="M1529" s="1290"/>
      <c r="N1529" s="1290"/>
      <c r="O1529" s="1290"/>
      <c r="P1529" s="1290"/>
    </row>
    <row r="1530" spans="1:16" s="1335" customFormat="1">
      <c r="A1530" s="1334"/>
      <c r="B1530" s="1290"/>
      <c r="C1530" s="1290"/>
      <c r="G1530" s="1290"/>
      <c r="H1530" s="1290"/>
      <c r="I1530" s="1290"/>
      <c r="J1530" s="1290"/>
      <c r="K1530" s="1290"/>
      <c r="L1530" s="1290"/>
      <c r="M1530" s="1290"/>
      <c r="N1530" s="1290"/>
      <c r="O1530" s="1290"/>
      <c r="P1530" s="1290"/>
    </row>
    <row r="1531" spans="1:16" s="1335" customFormat="1">
      <c r="A1531" s="1334"/>
      <c r="B1531" s="1290"/>
      <c r="C1531" s="1290"/>
      <c r="G1531" s="1290"/>
      <c r="H1531" s="1290"/>
      <c r="I1531" s="1290"/>
      <c r="J1531" s="1290"/>
      <c r="K1531" s="1290"/>
      <c r="L1531" s="1290"/>
      <c r="M1531" s="1290"/>
      <c r="N1531" s="1290"/>
      <c r="O1531" s="1290"/>
      <c r="P1531" s="1290"/>
    </row>
    <row r="1532" spans="1:16" s="1335" customFormat="1">
      <c r="A1532" s="1334"/>
      <c r="B1532" s="1290"/>
      <c r="C1532" s="1290"/>
      <c r="G1532" s="1290"/>
      <c r="H1532" s="1290"/>
      <c r="I1532" s="1290"/>
      <c r="J1532" s="1290"/>
      <c r="K1532" s="1290"/>
      <c r="L1532" s="1290"/>
      <c r="M1532" s="1290"/>
      <c r="N1532" s="1290"/>
      <c r="O1532" s="1290"/>
      <c r="P1532" s="1290"/>
    </row>
    <row r="1533" spans="1:16" s="1335" customFormat="1">
      <c r="A1533" s="1334"/>
      <c r="B1533" s="1290"/>
      <c r="C1533" s="1290"/>
      <c r="G1533" s="1290"/>
      <c r="H1533" s="1290"/>
      <c r="I1533" s="1290"/>
      <c r="J1533" s="1290"/>
      <c r="K1533" s="1290"/>
      <c r="L1533" s="1290"/>
      <c r="M1533" s="1290"/>
      <c r="N1533" s="1290"/>
      <c r="O1533" s="1290"/>
      <c r="P1533" s="1290"/>
    </row>
    <row r="1534" spans="1:16" s="1335" customFormat="1">
      <c r="A1534" s="1334"/>
      <c r="B1534" s="1290"/>
      <c r="C1534" s="1290"/>
      <c r="G1534" s="1290"/>
      <c r="H1534" s="1290"/>
      <c r="I1534" s="1290"/>
      <c r="J1534" s="1290"/>
      <c r="K1534" s="1290"/>
      <c r="L1534" s="1290"/>
      <c r="M1534" s="1290"/>
      <c r="N1534" s="1290"/>
      <c r="O1534" s="1290"/>
      <c r="P1534" s="1290"/>
    </row>
    <row r="1535" spans="1:16" s="1335" customFormat="1">
      <c r="A1535" s="1334"/>
      <c r="B1535" s="1290"/>
      <c r="C1535" s="1290"/>
      <c r="G1535" s="1290"/>
      <c r="H1535" s="1290"/>
      <c r="I1535" s="1290"/>
      <c r="J1535" s="1290"/>
      <c r="K1535" s="1290"/>
      <c r="L1535" s="1290"/>
      <c r="M1535" s="1290"/>
      <c r="N1535" s="1290"/>
      <c r="O1535" s="1290"/>
      <c r="P1535" s="1290"/>
    </row>
    <row r="1536" spans="1:16" s="1335" customFormat="1">
      <c r="A1536" s="1334"/>
      <c r="B1536" s="1290"/>
      <c r="C1536" s="1290"/>
      <c r="G1536" s="1290"/>
      <c r="H1536" s="1290"/>
      <c r="I1536" s="1290"/>
      <c r="J1536" s="1290"/>
      <c r="K1536" s="1290"/>
      <c r="L1536" s="1290"/>
      <c r="M1536" s="1290"/>
      <c r="N1536" s="1290"/>
      <c r="O1536" s="1290"/>
      <c r="P1536" s="1290"/>
    </row>
    <row r="1537" spans="1:16" s="1335" customFormat="1">
      <c r="A1537" s="1334"/>
      <c r="B1537" s="1290"/>
      <c r="C1537" s="1290"/>
      <c r="G1537" s="1290"/>
      <c r="H1537" s="1290"/>
      <c r="I1537" s="1290"/>
      <c r="J1537" s="1290"/>
      <c r="K1537" s="1290"/>
      <c r="L1537" s="1290"/>
      <c r="M1537" s="1290"/>
      <c r="N1537" s="1290"/>
      <c r="O1537" s="1290"/>
      <c r="P1537" s="1290"/>
    </row>
    <row r="1538" spans="1:16" s="1335" customFormat="1">
      <c r="A1538" s="1334"/>
      <c r="B1538" s="1290"/>
      <c r="C1538" s="1290"/>
      <c r="G1538" s="1290"/>
      <c r="H1538" s="1290"/>
      <c r="I1538" s="1290"/>
      <c r="J1538" s="1290"/>
      <c r="K1538" s="1290"/>
      <c r="L1538" s="1290"/>
      <c r="M1538" s="1290"/>
      <c r="N1538" s="1290"/>
      <c r="O1538" s="1290"/>
      <c r="P1538" s="1290"/>
    </row>
    <row r="1539" spans="1:16" s="1335" customFormat="1">
      <c r="A1539" s="1334"/>
      <c r="B1539" s="1290"/>
      <c r="C1539" s="1290"/>
      <c r="G1539" s="1290"/>
      <c r="H1539" s="1290"/>
      <c r="I1539" s="1290"/>
      <c r="J1539" s="1290"/>
      <c r="K1539" s="1290"/>
      <c r="L1539" s="1290"/>
      <c r="M1539" s="1290"/>
      <c r="N1539" s="1290"/>
      <c r="O1539" s="1290"/>
      <c r="P1539" s="1290"/>
    </row>
    <row r="1540" spans="1:16" s="1335" customFormat="1">
      <c r="A1540" s="1334"/>
      <c r="B1540" s="1290"/>
      <c r="C1540" s="1290"/>
      <c r="G1540" s="1290"/>
      <c r="H1540" s="1290"/>
      <c r="I1540" s="1290"/>
      <c r="J1540" s="1290"/>
      <c r="K1540" s="1290"/>
      <c r="L1540" s="1290"/>
      <c r="M1540" s="1290"/>
      <c r="N1540" s="1290"/>
      <c r="O1540" s="1290"/>
      <c r="P1540" s="1290"/>
    </row>
    <row r="1541" spans="1:16" s="1335" customFormat="1">
      <c r="A1541" s="1334"/>
      <c r="B1541" s="1290"/>
      <c r="C1541" s="1290"/>
      <c r="G1541" s="1290"/>
      <c r="H1541" s="1290"/>
      <c r="I1541" s="1290"/>
      <c r="J1541" s="1290"/>
      <c r="K1541" s="1290"/>
      <c r="L1541" s="1290"/>
      <c r="M1541" s="1290"/>
      <c r="N1541" s="1290"/>
      <c r="O1541" s="1290"/>
      <c r="P1541" s="1290"/>
    </row>
    <row r="1542" spans="1:16" s="1335" customFormat="1">
      <c r="A1542" s="1334"/>
      <c r="B1542" s="1290"/>
      <c r="C1542" s="1290"/>
      <c r="G1542" s="1290"/>
      <c r="H1542" s="1290"/>
      <c r="I1542" s="1290"/>
      <c r="J1542" s="1290"/>
      <c r="K1542" s="1290"/>
      <c r="L1542" s="1290"/>
      <c r="M1542" s="1290"/>
      <c r="N1542" s="1290"/>
      <c r="O1542" s="1290"/>
      <c r="P1542" s="1290"/>
    </row>
    <row r="1543" spans="1:16" s="1335" customFormat="1">
      <c r="A1543" s="1334"/>
      <c r="B1543" s="1290"/>
      <c r="C1543" s="1290"/>
      <c r="G1543" s="1290"/>
      <c r="H1543" s="1290"/>
      <c r="I1543" s="1290"/>
      <c r="J1543" s="1290"/>
      <c r="K1543" s="1290"/>
      <c r="L1543" s="1290"/>
      <c r="M1543" s="1290"/>
      <c r="N1543" s="1290"/>
      <c r="O1543" s="1290"/>
      <c r="P1543" s="1290"/>
    </row>
    <row r="1544" spans="1:16" s="1335" customFormat="1">
      <c r="A1544" s="1334"/>
      <c r="B1544" s="1290"/>
      <c r="C1544" s="1290"/>
      <c r="G1544" s="1290"/>
      <c r="H1544" s="1290"/>
      <c r="I1544" s="1290"/>
      <c r="J1544" s="1290"/>
      <c r="K1544" s="1290"/>
      <c r="L1544" s="1290"/>
      <c r="M1544" s="1290"/>
      <c r="N1544" s="1290"/>
      <c r="O1544" s="1290"/>
      <c r="P1544" s="1290"/>
    </row>
    <row r="1545" spans="1:16" s="1335" customFormat="1">
      <c r="A1545" s="1334"/>
      <c r="B1545" s="1290"/>
      <c r="C1545" s="1290"/>
      <c r="G1545" s="1290"/>
      <c r="H1545" s="1290"/>
      <c r="I1545" s="1290"/>
      <c r="J1545" s="1290"/>
      <c r="K1545" s="1290"/>
      <c r="L1545" s="1290"/>
      <c r="M1545" s="1290"/>
      <c r="N1545" s="1290"/>
      <c r="O1545" s="1290"/>
      <c r="P1545" s="1290"/>
    </row>
    <row r="1546" spans="1:16" s="1335" customFormat="1">
      <c r="A1546" s="1334"/>
      <c r="B1546" s="1290"/>
      <c r="C1546" s="1290"/>
      <c r="G1546" s="1290"/>
      <c r="H1546" s="1290"/>
      <c r="I1546" s="1290"/>
      <c r="J1546" s="1290"/>
      <c r="K1546" s="1290"/>
      <c r="L1546" s="1290"/>
      <c r="M1546" s="1290"/>
      <c r="N1546" s="1290"/>
      <c r="O1546" s="1290"/>
      <c r="P1546" s="1290"/>
    </row>
    <row r="1547" spans="1:16" s="1335" customFormat="1">
      <c r="A1547" s="1334"/>
      <c r="B1547" s="1290"/>
      <c r="C1547" s="1290"/>
      <c r="G1547" s="1290"/>
      <c r="H1547" s="1290"/>
      <c r="I1547" s="1290"/>
      <c r="J1547" s="1290"/>
      <c r="K1547" s="1290"/>
      <c r="L1547" s="1290"/>
      <c r="M1547" s="1290"/>
      <c r="N1547" s="1290"/>
      <c r="O1547" s="1290"/>
      <c r="P1547" s="1290"/>
    </row>
    <row r="1548" spans="1:16" s="1335" customFormat="1">
      <c r="A1548" s="1334"/>
      <c r="B1548" s="1290"/>
      <c r="C1548" s="1290"/>
      <c r="G1548" s="1290"/>
      <c r="H1548" s="1290"/>
      <c r="I1548" s="1290"/>
      <c r="J1548" s="1290"/>
      <c r="K1548" s="1290"/>
      <c r="L1548" s="1290"/>
      <c r="M1548" s="1290"/>
      <c r="N1548" s="1290"/>
      <c r="O1548" s="1290"/>
      <c r="P1548" s="1290"/>
    </row>
    <row r="1549" spans="1:16" s="1335" customFormat="1">
      <c r="A1549" s="1334"/>
      <c r="B1549" s="1290"/>
      <c r="C1549" s="1290"/>
      <c r="G1549" s="1290"/>
      <c r="H1549" s="1290"/>
      <c r="I1549" s="1290"/>
      <c r="J1549" s="1290"/>
      <c r="K1549" s="1290"/>
      <c r="L1549" s="1290"/>
      <c r="M1549" s="1290"/>
      <c r="N1549" s="1290"/>
      <c r="O1549" s="1290"/>
      <c r="P1549" s="1290"/>
    </row>
    <row r="1550" spans="1:16" s="1335" customFormat="1">
      <c r="A1550" s="1334"/>
      <c r="B1550" s="1290"/>
      <c r="C1550" s="1290"/>
      <c r="G1550" s="1290"/>
      <c r="H1550" s="1290"/>
      <c r="I1550" s="1290"/>
      <c r="J1550" s="1290"/>
      <c r="K1550" s="1290"/>
      <c r="L1550" s="1290"/>
      <c r="M1550" s="1290"/>
      <c r="N1550" s="1290"/>
      <c r="O1550" s="1290"/>
      <c r="P1550" s="1290"/>
    </row>
    <row r="1551" spans="1:16" s="1335" customFormat="1">
      <c r="A1551" s="1334"/>
      <c r="B1551" s="1290"/>
      <c r="C1551" s="1290"/>
      <c r="G1551" s="1290"/>
      <c r="H1551" s="1290"/>
      <c r="I1551" s="1290"/>
      <c r="J1551" s="1290"/>
      <c r="K1551" s="1290"/>
      <c r="L1551" s="1290"/>
      <c r="M1551" s="1290"/>
      <c r="N1551" s="1290"/>
      <c r="O1551" s="1290"/>
      <c r="P1551" s="1290"/>
    </row>
    <row r="1552" spans="1:16" s="1335" customFormat="1">
      <c r="A1552" s="1334"/>
      <c r="B1552" s="1290"/>
      <c r="C1552" s="1290"/>
      <c r="G1552" s="1290"/>
      <c r="H1552" s="1290"/>
      <c r="I1552" s="1290"/>
      <c r="J1552" s="1290"/>
      <c r="K1552" s="1290"/>
      <c r="L1552" s="1290"/>
      <c r="M1552" s="1290"/>
      <c r="N1552" s="1290"/>
      <c r="O1552" s="1290"/>
      <c r="P1552" s="1290"/>
    </row>
    <row r="1553" spans="1:16" s="1335" customFormat="1">
      <c r="A1553" s="1334"/>
      <c r="B1553" s="1290"/>
      <c r="C1553" s="1290"/>
      <c r="G1553" s="1290"/>
      <c r="H1553" s="1290"/>
      <c r="I1553" s="1290"/>
      <c r="J1553" s="1290"/>
      <c r="K1553" s="1290"/>
      <c r="L1553" s="1290"/>
      <c r="M1553" s="1290"/>
      <c r="N1553" s="1290"/>
      <c r="O1553" s="1290"/>
      <c r="P1553" s="1290"/>
    </row>
    <row r="1554" spans="1:16" s="1335" customFormat="1">
      <c r="A1554" s="1334"/>
      <c r="B1554" s="1290"/>
      <c r="C1554" s="1290"/>
      <c r="G1554" s="1290"/>
      <c r="H1554" s="1290"/>
      <c r="I1554" s="1290"/>
      <c r="J1554" s="1290"/>
      <c r="K1554" s="1290"/>
      <c r="L1554" s="1290"/>
      <c r="M1554" s="1290"/>
      <c r="N1554" s="1290"/>
      <c r="O1554" s="1290"/>
      <c r="P1554" s="1290"/>
    </row>
    <row r="1555" spans="1:16" s="1335" customFormat="1">
      <c r="A1555" s="1334"/>
      <c r="B1555" s="1290"/>
      <c r="C1555" s="1290"/>
      <c r="G1555" s="1290"/>
      <c r="H1555" s="1290"/>
      <c r="I1555" s="1290"/>
      <c r="J1555" s="1290"/>
      <c r="K1555" s="1290"/>
      <c r="L1555" s="1290"/>
      <c r="M1555" s="1290"/>
      <c r="N1555" s="1290"/>
      <c r="O1555" s="1290"/>
      <c r="P1555" s="1290"/>
    </row>
    <row r="1556" spans="1:16" s="1335" customFormat="1">
      <c r="A1556" s="1334"/>
      <c r="B1556" s="1290"/>
      <c r="C1556" s="1290"/>
      <c r="G1556" s="1290"/>
      <c r="H1556" s="1290"/>
      <c r="I1556" s="1290"/>
      <c r="J1556" s="1290"/>
      <c r="K1556" s="1290"/>
      <c r="L1556" s="1290"/>
      <c r="M1556" s="1290"/>
      <c r="N1556" s="1290"/>
      <c r="O1556" s="1290"/>
      <c r="P1556" s="1290"/>
    </row>
    <row r="1557" spans="1:16" s="1335" customFormat="1">
      <c r="A1557" s="1334"/>
      <c r="B1557" s="1290"/>
      <c r="C1557" s="1290"/>
      <c r="G1557" s="1290"/>
      <c r="H1557" s="1290"/>
      <c r="I1557" s="1290"/>
      <c r="J1557" s="1290"/>
      <c r="K1557" s="1290"/>
      <c r="L1557" s="1290"/>
      <c r="M1557" s="1290"/>
      <c r="N1557" s="1290"/>
      <c r="O1557" s="1290"/>
      <c r="P1557" s="1290"/>
    </row>
    <row r="1558" spans="1:16" s="1335" customFormat="1">
      <c r="A1558" s="1334"/>
      <c r="B1558" s="1290"/>
      <c r="C1558" s="1290"/>
      <c r="G1558" s="1290"/>
      <c r="H1558" s="1290"/>
      <c r="I1558" s="1290"/>
      <c r="J1558" s="1290"/>
      <c r="K1558" s="1290"/>
      <c r="L1558" s="1290"/>
      <c r="M1558" s="1290"/>
      <c r="N1558" s="1290"/>
      <c r="O1558" s="1290"/>
      <c r="P1558" s="1290"/>
    </row>
    <row r="1559" spans="1:16" s="1335" customFormat="1">
      <c r="A1559" s="1334"/>
      <c r="B1559" s="1290"/>
      <c r="C1559" s="1290"/>
      <c r="G1559" s="1290"/>
      <c r="H1559" s="1290"/>
      <c r="I1559" s="1290"/>
      <c r="J1559" s="1290"/>
      <c r="K1559" s="1290"/>
      <c r="L1559" s="1290"/>
      <c r="M1559" s="1290"/>
      <c r="N1559" s="1290"/>
      <c r="O1559" s="1290"/>
      <c r="P1559" s="1290"/>
    </row>
    <row r="1560" spans="1:16" s="1335" customFormat="1">
      <c r="A1560" s="1334"/>
      <c r="B1560" s="1290"/>
      <c r="C1560" s="1290"/>
      <c r="G1560" s="1290"/>
      <c r="H1560" s="1290"/>
      <c r="I1560" s="1290"/>
      <c r="J1560" s="1290"/>
      <c r="K1560" s="1290"/>
      <c r="L1560" s="1290"/>
      <c r="M1560" s="1290"/>
      <c r="N1560" s="1290"/>
      <c r="O1560" s="1290"/>
      <c r="P1560" s="1290"/>
    </row>
    <row r="1561" spans="1:16" s="1335" customFormat="1">
      <c r="A1561" s="1334"/>
      <c r="B1561" s="1290"/>
      <c r="C1561" s="1290"/>
      <c r="G1561" s="1290"/>
      <c r="H1561" s="1290"/>
      <c r="I1561" s="1290"/>
      <c r="J1561" s="1290"/>
      <c r="K1561" s="1290"/>
      <c r="L1561" s="1290"/>
      <c r="M1561" s="1290"/>
      <c r="N1561" s="1290"/>
      <c r="O1561" s="1290"/>
      <c r="P1561" s="1290"/>
    </row>
    <row r="1562" spans="1:16" s="1335" customFormat="1">
      <c r="A1562" s="1334"/>
      <c r="B1562" s="1290"/>
      <c r="C1562" s="1290"/>
      <c r="G1562" s="1290"/>
      <c r="H1562" s="1290"/>
      <c r="I1562" s="1290"/>
      <c r="J1562" s="1290"/>
      <c r="K1562" s="1290"/>
      <c r="L1562" s="1290"/>
      <c r="M1562" s="1290"/>
      <c r="N1562" s="1290"/>
      <c r="O1562" s="1290"/>
      <c r="P1562" s="1290"/>
    </row>
    <row r="1563" spans="1:16" s="1335" customFormat="1">
      <c r="A1563" s="1334"/>
      <c r="B1563" s="1290"/>
      <c r="C1563" s="1290"/>
      <c r="G1563" s="1290"/>
      <c r="H1563" s="1290"/>
      <c r="I1563" s="1290"/>
      <c r="J1563" s="1290"/>
      <c r="K1563" s="1290"/>
      <c r="L1563" s="1290"/>
      <c r="M1563" s="1290"/>
      <c r="N1563" s="1290"/>
      <c r="O1563" s="1290"/>
      <c r="P1563" s="1290"/>
    </row>
    <row r="1564" spans="1:16" s="1335" customFormat="1">
      <c r="A1564" s="1334"/>
      <c r="B1564" s="1290"/>
      <c r="C1564" s="1290"/>
      <c r="G1564" s="1290"/>
      <c r="H1564" s="1290"/>
      <c r="I1564" s="1290"/>
      <c r="J1564" s="1290"/>
      <c r="K1564" s="1290"/>
      <c r="L1564" s="1290"/>
      <c r="M1564" s="1290"/>
      <c r="N1564" s="1290"/>
      <c r="O1564" s="1290"/>
      <c r="P1564" s="1290"/>
    </row>
    <row r="1565" spans="1:16" s="1335" customFormat="1">
      <c r="A1565" s="1334"/>
      <c r="B1565" s="1290"/>
      <c r="C1565" s="1290"/>
      <c r="G1565" s="1290"/>
      <c r="H1565" s="1290"/>
      <c r="I1565" s="1290"/>
      <c r="J1565" s="1290"/>
      <c r="K1565" s="1290"/>
      <c r="L1565" s="1290"/>
      <c r="M1565" s="1290"/>
      <c r="N1565" s="1290"/>
      <c r="O1565" s="1290"/>
      <c r="P1565" s="1290"/>
    </row>
    <row r="1566" spans="1:16" s="1335" customFormat="1">
      <c r="A1566" s="1334"/>
      <c r="B1566" s="1290"/>
      <c r="C1566" s="1290"/>
      <c r="G1566" s="1290"/>
      <c r="H1566" s="1290"/>
      <c r="I1566" s="1290"/>
      <c r="J1566" s="1290"/>
      <c r="K1566" s="1290"/>
      <c r="L1566" s="1290"/>
      <c r="M1566" s="1290"/>
      <c r="N1566" s="1290"/>
      <c r="O1566" s="1290"/>
      <c r="P1566" s="1290"/>
    </row>
    <row r="1567" spans="1:16" s="1335" customFormat="1">
      <c r="A1567" s="1334"/>
      <c r="B1567" s="1290"/>
      <c r="C1567" s="1290"/>
      <c r="G1567" s="1290"/>
      <c r="H1567" s="1290"/>
      <c r="I1567" s="1290"/>
      <c r="J1567" s="1290"/>
      <c r="K1567" s="1290"/>
      <c r="L1567" s="1290"/>
      <c r="M1567" s="1290"/>
      <c r="N1567" s="1290"/>
      <c r="O1567" s="1290"/>
      <c r="P1567" s="1290"/>
    </row>
    <row r="1568" spans="1:16" s="1335" customFormat="1">
      <c r="A1568" s="1334"/>
      <c r="B1568" s="1290"/>
      <c r="C1568" s="1290"/>
      <c r="G1568" s="1290"/>
      <c r="H1568" s="1290"/>
      <c r="I1568" s="1290"/>
      <c r="J1568" s="1290"/>
      <c r="K1568" s="1290"/>
      <c r="L1568" s="1290"/>
      <c r="M1568" s="1290"/>
      <c r="N1568" s="1290"/>
      <c r="O1568" s="1290"/>
      <c r="P1568" s="1290"/>
    </row>
    <row r="1569" spans="1:16" s="1335" customFormat="1">
      <c r="A1569" s="1334"/>
      <c r="B1569" s="1290"/>
      <c r="C1569" s="1290"/>
      <c r="G1569" s="1290"/>
      <c r="H1569" s="1290"/>
      <c r="I1569" s="1290"/>
      <c r="J1569" s="1290"/>
      <c r="K1569" s="1290"/>
      <c r="L1569" s="1290"/>
      <c r="M1569" s="1290"/>
      <c r="N1569" s="1290"/>
      <c r="O1569" s="1290"/>
      <c r="P1569" s="1290"/>
    </row>
    <row r="1570" spans="1:16" s="1335" customFormat="1">
      <c r="A1570" s="1334"/>
      <c r="B1570" s="1290"/>
      <c r="C1570" s="1290"/>
      <c r="G1570" s="1290"/>
      <c r="H1570" s="1290"/>
      <c r="I1570" s="1290"/>
      <c r="J1570" s="1290"/>
      <c r="K1570" s="1290"/>
      <c r="L1570" s="1290"/>
      <c r="M1570" s="1290"/>
      <c r="N1570" s="1290"/>
      <c r="O1570" s="1290"/>
      <c r="P1570" s="1290"/>
    </row>
    <row r="1571" spans="1:16" s="1335" customFormat="1">
      <c r="A1571" s="1334"/>
      <c r="B1571" s="1290"/>
      <c r="C1571" s="1290"/>
      <c r="G1571" s="1290"/>
      <c r="H1571" s="1290"/>
      <c r="I1571" s="1290"/>
      <c r="J1571" s="1290"/>
      <c r="K1571" s="1290"/>
      <c r="L1571" s="1290"/>
      <c r="M1571" s="1290"/>
      <c r="N1571" s="1290"/>
      <c r="O1571" s="1290"/>
      <c r="P1571" s="1290"/>
    </row>
    <row r="1572" spans="1:16" s="1335" customFormat="1">
      <c r="A1572" s="1334"/>
      <c r="B1572" s="1290"/>
      <c r="C1572" s="1290"/>
      <c r="G1572" s="1290"/>
      <c r="H1572" s="1290"/>
      <c r="I1572" s="1290"/>
      <c r="J1572" s="1290"/>
      <c r="K1572" s="1290"/>
      <c r="L1572" s="1290"/>
      <c r="M1572" s="1290"/>
      <c r="N1572" s="1290"/>
      <c r="O1572" s="1290"/>
      <c r="P1572" s="1290"/>
    </row>
    <row r="1573" spans="1:16" s="1335" customFormat="1">
      <c r="A1573" s="1334"/>
      <c r="B1573" s="1290"/>
      <c r="C1573" s="1290"/>
      <c r="G1573" s="1290"/>
      <c r="H1573" s="1290"/>
      <c r="I1573" s="1290"/>
      <c r="J1573" s="1290"/>
      <c r="K1573" s="1290"/>
      <c r="L1573" s="1290"/>
      <c r="M1573" s="1290"/>
      <c r="N1573" s="1290"/>
      <c r="O1573" s="1290"/>
      <c r="P1573" s="1290"/>
    </row>
    <row r="1574" spans="1:16" s="1335" customFormat="1">
      <c r="A1574" s="1334"/>
      <c r="B1574" s="1290"/>
      <c r="C1574" s="1290"/>
      <c r="G1574" s="1290"/>
      <c r="H1574" s="1290"/>
      <c r="I1574" s="1290"/>
      <c r="J1574" s="1290"/>
      <c r="K1574" s="1290"/>
      <c r="L1574" s="1290"/>
      <c r="M1574" s="1290"/>
      <c r="N1574" s="1290"/>
      <c r="O1574" s="1290"/>
      <c r="P1574" s="1290"/>
    </row>
    <row r="1575" spans="1:16" s="1335" customFormat="1">
      <c r="A1575" s="1334"/>
      <c r="B1575" s="1290"/>
      <c r="C1575" s="1290"/>
      <c r="G1575" s="1290"/>
      <c r="H1575" s="1290"/>
      <c r="I1575" s="1290"/>
      <c r="J1575" s="1290"/>
      <c r="K1575" s="1290"/>
      <c r="L1575" s="1290"/>
      <c r="M1575" s="1290"/>
      <c r="N1575" s="1290"/>
      <c r="O1575" s="1290"/>
      <c r="P1575" s="1290"/>
    </row>
    <row r="1576" spans="1:16" s="1335" customFormat="1">
      <c r="A1576" s="1334"/>
      <c r="B1576" s="1290"/>
      <c r="C1576" s="1290"/>
      <c r="G1576" s="1290"/>
      <c r="H1576" s="1290"/>
      <c r="I1576" s="1290"/>
      <c r="J1576" s="1290"/>
      <c r="K1576" s="1290"/>
      <c r="L1576" s="1290"/>
      <c r="M1576" s="1290"/>
      <c r="N1576" s="1290"/>
      <c r="O1576" s="1290"/>
      <c r="P1576" s="1290"/>
    </row>
    <row r="1577" spans="1:16" s="1335" customFormat="1">
      <c r="A1577" s="1334"/>
      <c r="B1577" s="1290"/>
      <c r="C1577" s="1290"/>
      <c r="G1577" s="1290"/>
      <c r="H1577" s="1290"/>
      <c r="I1577" s="1290"/>
      <c r="J1577" s="1290"/>
      <c r="K1577" s="1290"/>
      <c r="L1577" s="1290"/>
      <c r="M1577" s="1290"/>
      <c r="N1577" s="1290"/>
      <c r="O1577" s="1290"/>
      <c r="P1577" s="1290"/>
    </row>
    <row r="1578" spans="1:16" s="1335" customFormat="1">
      <c r="A1578" s="1334"/>
      <c r="B1578" s="1290"/>
      <c r="C1578" s="1290"/>
      <c r="G1578" s="1290"/>
      <c r="H1578" s="1290"/>
      <c r="I1578" s="1290"/>
      <c r="J1578" s="1290"/>
      <c r="K1578" s="1290"/>
      <c r="L1578" s="1290"/>
      <c r="M1578" s="1290"/>
      <c r="N1578" s="1290"/>
      <c r="O1578" s="1290"/>
      <c r="P1578" s="1290"/>
    </row>
    <row r="1579" spans="1:16" s="1335" customFormat="1">
      <c r="A1579" s="1334"/>
      <c r="B1579" s="1290"/>
      <c r="C1579" s="1290"/>
      <c r="G1579" s="1290"/>
      <c r="H1579" s="1290"/>
      <c r="I1579" s="1290"/>
      <c r="J1579" s="1290"/>
      <c r="K1579" s="1290"/>
      <c r="L1579" s="1290"/>
      <c r="M1579" s="1290"/>
      <c r="N1579" s="1290"/>
      <c r="O1579" s="1290"/>
      <c r="P1579" s="1290"/>
    </row>
    <row r="1580" spans="1:16" s="1335" customFormat="1">
      <c r="A1580" s="1334"/>
      <c r="B1580" s="1290"/>
      <c r="C1580" s="1290"/>
      <c r="G1580" s="1290"/>
      <c r="H1580" s="1290"/>
      <c r="I1580" s="1290"/>
      <c r="J1580" s="1290"/>
      <c r="K1580" s="1290"/>
      <c r="L1580" s="1290"/>
      <c r="M1580" s="1290"/>
      <c r="N1580" s="1290"/>
      <c r="O1580" s="1290"/>
      <c r="P1580" s="1290"/>
    </row>
    <row r="1581" spans="1:16" s="1335" customFormat="1">
      <c r="A1581" s="1334"/>
      <c r="B1581" s="1290"/>
      <c r="C1581" s="1290"/>
      <c r="G1581" s="1290"/>
      <c r="H1581" s="1290"/>
      <c r="I1581" s="1290"/>
      <c r="J1581" s="1290"/>
      <c r="K1581" s="1290"/>
      <c r="L1581" s="1290"/>
      <c r="M1581" s="1290"/>
      <c r="N1581" s="1290"/>
      <c r="O1581" s="1290"/>
      <c r="P1581" s="1290"/>
    </row>
    <row r="1582" spans="1:16" s="1335" customFormat="1">
      <c r="A1582" s="1334"/>
      <c r="B1582" s="1290"/>
      <c r="C1582" s="1290"/>
      <c r="G1582" s="1290"/>
      <c r="H1582" s="1290"/>
      <c r="I1582" s="1290"/>
      <c r="J1582" s="1290"/>
      <c r="K1582" s="1290"/>
      <c r="L1582" s="1290"/>
      <c r="M1582" s="1290"/>
      <c r="N1582" s="1290"/>
      <c r="O1582" s="1290"/>
      <c r="P1582" s="1290"/>
    </row>
    <row r="1583" spans="1:16" s="1335" customFormat="1">
      <c r="A1583" s="1334"/>
      <c r="B1583" s="1290"/>
      <c r="C1583" s="1290"/>
      <c r="G1583" s="1290"/>
      <c r="H1583" s="1290"/>
      <c r="I1583" s="1290"/>
      <c r="J1583" s="1290"/>
      <c r="K1583" s="1290"/>
      <c r="L1583" s="1290"/>
      <c r="M1583" s="1290"/>
      <c r="N1583" s="1290"/>
      <c r="O1583" s="1290"/>
      <c r="P1583" s="1290"/>
    </row>
    <row r="1584" spans="1:16" s="1335" customFormat="1">
      <c r="A1584" s="1334"/>
      <c r="B1584" s="1290"/>
      <c r="C1584" s="1290"/>
      <c r="G1584" s="1290"/>
      <c r="H1584" s="1290"/>
      <c r="I1584" s="1290"/>
      <c r="J1584" s="1290"/>
      <c r="K1584" s="1290"/>
      <c r="L1584" s="1290"/>
      <c r="M1584" s="1290"/>
      <c r="N1584" s="1290"/>
      <c r="O1584" s="1290"/>
      <c r="P1584" s="1290"/>
    </row>
    <row r="1585" spans="1:16" s="1335" customFormat="1">
      <c r="A1585" s="1334"/>
      <c r="B1585" s="1290"/>
      <c r="C1585" s="1290"/>
      <c r="G1585" s="1290"/>
      <c r="H1585" s="1290"/>
      <c r="I1585" s="1290"/>
      <c r="J1585" s="1290"/>
      <c r="K1585" s="1290"/>
      <c r="L1585" s="1290"/>
      <c r="M1585" s="1290"/>
      <c r="N1585" s="1290"/>
      <c r="O1585" s="1290"/>
      <c r="P1585" s="1290"/>
    </row>
    <row r="1586" spans="1:16" s="1335" customFormat="1">
      <c r="A1586" s="1334"/>
      <c r="B1586" s="1290"/>
      <c r="C1586" s="1290"/>
      <c r="G1586" s="1290"/>
      <c r="H1586" s="1290"/>
      <c r="I1586" s="1290"/>
      <c r="J1586" s="1290"/>
      <c r="K1586" s="1290"/>
      <c r="L1586" s="1290"/>
      <c r="M1586" s="1290"/>
      <c r="N1586" s="1290"/>
      <c r="O1586" s="1290"/>
      <c r="P1586" s="1290"/>
    </row>
    <row r="1587" spans="1:16" s="1335" customFormat="1">
      <c r="A1587" s="1334"/>
      <c r="B1587" s="1290"/>
      <c r="C1587" s="1290"/>
      <c r="G1587" s="1290"/>
      <c r="H1587" s="1290"/>
      <c r="I1587" s="1290"/>
      <c r="J1587" s="1290"/>
      <c r="K1587" s="1290"/>
      <c r="L1587" s="1290"/>
      <c r="M1587" s="1290"/>
      <c r="N1587" s="1290"/>
      <c r="O1587" s="1290"/>
      <c r="P1587" s="1290"/>
    </row>
    <row r="1588" spans="1:16" s="1335" customFormat="1">
      <c r="A1588" s="1334"/>
      <c r="B1588" s="1290"/>
      <c r="C1588" s="1290"/>
      <c r="G1588" s="1290"/>
      <c r="H1588" s="1290"/>
      <c r="I1588" s="1290"/>
      <c r="J1588" s="1290"/>
      <c r="K1588" s="1290"/>
      <c r="L1588" s="1290"/>
      <c r="M1588" s="1290"/>
      <c r="N1588" s="1290"/>
      <c r="O1588" s="1290"/>
      <c r="P1588" s="1290"/>
    </row>
    <row r="1589" spans="1:16" s="1335" customFormat="1">
      <c r="A1589" s="1334"/>
      <c r="B1589" s="1290"/>
      <c r="C1589" s="1290"/>
      <c r="G1589" s="1290"/>
      <c r="H1589" s="1290"/>
      <c r="I1589" s="1290"/>
      <c r="J1589" s="1290"/>
      <c r="K1589" s="1290"/>
      <c r="L1589" s="1290"/>
      <c r="M1589" s="1290"/>
      <c r="N1589" s="1290"/>
      <c r="O1589" s="1290"/>
      <c r="P1589" s="1290"/>
    </row>
    <row r="1590" spans="1:16" s="1335" customFormat="1">
      <c r="A1590" s="1334"/>
      <c r="B1590" s="1290"/>
      <c r="C1590" s="1290"/>
      <c r="G1590" s="1290"/>
      <c r="H1590" s="1290"/>
      <c r="I1590" s="1290"/>
      <c r="J1590" s="1290"/>
      <c r="K1590" s="1290"/>
      <c r="L1590" s="1290"/>
      <c r="M1590" s="1290"/>
      <c r="N1590" s="1290"/>
      <c r="O1590" s="1290"/>
      <c r="P1590" s="1290"/>
    </row>
    <row r="1591" spans="1:16" s="1335" customFormat="1">
      <c r="A1591" s="1334"/>
      <c r="B1591" s="1290"/>
      <c r="C1591" s="1290"/>
      <c r="G1591" s="1290"/>
      <c r="H1591" s="1290"/>
      <c r="I1591" s="1290"/>
      <c r="J1591" s="1290"/>
      <c r="K1591" s="1290"/>
      <c r="L1591" s="1290"/>
      <c r="M1591" s="1290"/>
      <c r="N1591" s="1290"/>
      <c r="O1591" s="1290"/>
      <c r="P1591" s="1290"/>
    </row>
    <row r="1592" spans="1:16" s="1335" customFormat="1">
      <c r="A1592" s="1334"/>
      <c r="B1592" s="1290"/>
      <c r="C1592" s="1290"/>
      <c r="G1592" s="1290"/>
      <c r="H1592" s="1290"/>
      <c r="I1592" s="1290"/>
      <c r="J1592" s="1290"/>
      <c r="K1592" s="1290"/>
      <c r="L1592" s="1290"/>
      <c r="M1592" s="1290"/>
      <c r="N1592" s="1290"/>
      <c r="O1592" s="1290"/>
      <c r="P1592" s="1290"/>
    </row>
    <row r="1593" spans="1:16" s="1335" customFormat="1">
      <c r="A1593" s="1334"/>
      <c r="B1593" s="1290"/>
      <c r="C1593" s="1290"/>
      <c r="G1593" s="1290"/>
      <c r="H1593" s="1290"/>
      <c r="I1593" s="1290"/>
      <c r="J1593" s="1290"/>
      <c r="K1593" s="1290"/>
      <c r="L1593" s="1290"/>
      <c r="M1593" s="1290"/>
      <c r="N1593" s="1290"/>
      <c r="O1593" s="1290"/>
      <c r="P1593" s="1290"/>
    </row>
    <row r="1594" spans="1:16" s="1335" customFormat="1">
      <c r="A1594" s="1334"/>
      <c r="B1594" s="1290"/>
      <c r="C1594" s="1290"/>
      <c r="G1594" s="1290"/>
      <c r="H1594" s="1290"/>
      <c r="I1594" s="1290"/>
      <c r="J1594" s="1290"/>
      <c r="K1594" s="1290"/>
      <c r="L1594" s="1290"/>
      <c r="M1594" s="1290"/>
      <c r="N1594" s="1290"/>
      <c r="O1594" s="1290"/>
      <c r="P1594" s="1290"/>
    </row>
    <row r="1595" spans="1:16" s="1335" customFormat="1">
      <c r="A1595" s="1334"/>
      <c r="B1595" s="1290"/>
      <c r="C1595" s="1290"/>
      <c r="G1595" s="1290"/>
      <c r="H1595" s="1290"/>
      <c r="I1595" s="1290"/>
      <c r="J1595" s="1290"/>
      <c r="K1595" s="1290"/>
      <c r="L1595" s="1290"/>
      <c r="M1595" s="1290"/>
      <c r="N1595" s="1290"/>
      <c r="O1595" s="1290"/>
      <c r="P1595" s="1290"/>
    </row>
    <row r="1596" spans="1:16" s="1335" customFormat="1">
      <c r="A1596" s="1334"/>
      <c r="B1596" s="1290"/>
      <c r="C1596" s="1290"/>
      <c r="G1596" s="1290"/>
      <c r="H1596" s="1290"/>
      <c r="I1596" s="1290"/>
      <c r="J1596" s="1290"/>
      <c r="K1596" s="1290"/>
      <c r="L1596" s="1290"/>
      <c r="M1596" s="1290"/>
      <c r="N1596" s="1290"/>
      <c r="O1596" s="1290"/>
      <c r="P1596" s="1290"/>
    </row>
    <row r="1597" spans="1:16" s="1335" customFormat="1">
      <c r="A1597" s="1334"/>
      <c r="B1597" s="1290"/>
      <c r="C1597" s="1290"/>
      <c r="G1597" s="1290"/>
      <c r="H1597" s="1290"/>
      <c r="I1597" s="1290"/>
      <c r="J1597" s="1290"/>
      <c r="K1597" s="1290"/>
      <c r="L1597" s="1290"/>
      <c r="M1597" s="1290"/>
      <c r="N1597" s="1290"/>
      <c r="O1597" s="1290"/>
      <c r="P1597" s="1290"/>
    </row>
    <row r="1598" spans="1:16" s="1335" customFormat="1">
      <c r="A1598" s="1334"/>
      <c r="B1598" s="1290"/>
      <c r="C1598" s="1290"/>
      <c r="G1598" s="1290"/>
      <c r="H1598" s="1290"/>
      <c r="I1598" s="1290"/>
      <c r="J1598" s="1290"/>
      <c r="K1598" s="1290"/>
      <c r="L1598" s="1290"/>
      <c r="M1598" s="1290"/>
      <c r="N1598" s="1290"/>
      <c r="O1598" s="1290"/>
      <c r="P1598" s="1290"/>
    </row>
    <row r="1599" spans="1:16" s="1335" customFormat="1">
      <c r="A1599" s="1334"/>
      <c r="B1599" s="1290"/>
      <c r="C1599" s="1290"/>
      <c r="G1599" s="1290"/>
      <c r="H1599" s="1290"/>
      <c r="I1599" s="1290"/>
      <c r="J1599" s="1290"/>
      <c r="K1599" s="1290"/>
      <c r="L1599" s="1290"/>
      <c r="M1599" s="1290"/>
      <c r="N1599" s="1290"/>
      <c r="O1599" s="1290"/>
      <c r="P1599" s="1290"/>
    </row>
    <row r="1600" spans="1:16" s="1335" customFormat="1">
      <c r="A1600" s="1334"/>
      <c r="B1600" s="1290"/>
      <c r="C1600" s="1290"/>
      <c r="G1600" s="1290"/>
      <c r="H1600" s="1290"/>
      <c r="I1600" s="1290"/>
      <c r="J1600" s="1290"/>
      <c r="K1600" s="1290"/>
      <c r="L1600" s="1290"/>
      <c r="M1600" s="1290"/>
      <c r="N1600" s="1290"/>
      <c r="O1600" s="1290"/>
      <c r="P1600" s="1290"/>
    </row>
    <row r="1601" spans="1:16" s="1335" customFormat="1">
      <c r="A1601" s="1334"/>
      <c r="B1601" s="1290"/>
      <c r="C1601" s="1290"/>
      <c r="G1601" s="1290"/>
      <c r="H1601" s="1290"/>
      <c r="I1601" s="1290"/>
      <c r="J1601" s="1290"/>
      <c r="K1601" s="1290"/>
      <c r="L1601" s="1290"/>
      <c r="M1601" s="1290"/>
      <c r="N1601" s="1290"/>
      <c r="O1601" s="1290"/>
      <c r="P1601" s="1290"/>
    </row>
    <row r="1602" spans="1:16" s="1335" customFormat="1">
      <c r="A1602" s="1334"/>
      <c r="B1602" s="1290"/>
      <c r="C1602" s="1290"/>
      <c r="G1602" s="1290"/>
      <c r="H1602" s="1290"/>
      <c r="I1602" s="1290"/>
      <c r="J1602" s="1290"/>
      <c r="K1602" s="1290"/>
      <c r="L1602" s="1290"/>
      <c r="M1602" s="1290"/>
      <c r="N1602" s="1290"/>
      <c r="O1602" s="1290"/>
      <c r="P1602" s="1290"/>
    </row>
    <row r="1603" spans="1:16" s="1335" customFormat="1">
      <c r="A1603" s="1334"/>
      <c r="B1603" s="1290"/>
      <c r="C1603" s="1290"/>
      <c r="G1603" s="1290"/>
      <c r="H1603" s="1290"/>
      <c r="I1603" s="1290"/>
      <c r="J1603" s="1290"/>
      <c r="K1603" s="1290"/>
      <c r="L1603" s="1290"/>
      <c r="M1603" s="1290"/>
      <c r="N1603" s="1290"/>
      <c r="O1603" s="1290"/>
      <c r="P1603" s="1290"/>
    </row>
    <row r="1604" spans="1:16" s="1335" customFormat="1">
      <c r="A1604" s="1334"/>
      <c r="B1604" s="1290"/>
      <c r="C1604" s="1290"/>
      <c r="G1604" s="1290"/>
      <c r="H1604" s="1290"/>
      <c r="I1604" s="1290"/>
      <c r="J1604" s="1290"/>
      <c r="K1604" s="1290"/>
      <c r="L1604" s="1290"/>
      <c r="M1604" s="1290"/>
      <c r="N1604" s="1290"/>
      <c r="O1604" s="1290"/>
      <c r="P1604" s="1290"/>
    </row>
    <row r="1605" spans="1:16" s="1335" customFormat="1">
      <c r="A1605" s="1334"/>
      <c r="B1605" s="1290"/>
      <c r="C1605" s="1290"/>
      <c r="G1605" s="1290"/>
      <c r="H1605" s="1290"/>
      <c r="I1605" s="1290"/>
      <c r="J1605" s="1290"/>
      <c r="K1605" s="1290"/>
      <c r="L1605" s="1290"/>
      <c r="M1605" s="1290"/>
      <c r="N1605" s="1290"/>
      <c r="O1605" s="1290"/>
      <c r="P1605" s="1290"/>
    </row>
    <row r="1606" spans="1:16" s="1335" customFormat="1">
      <c r="A1606" s="1334"/>
      <c r="B1606" s="1290"/>
      <c r="C1606" s="1290"/>
      <c r="G1606" s="1290"/>
      <c r="H1606" s="1290"/>
      <c r="I1606" s="1290"/>
      <c r="J1606" s="1290"/>
      <c r="K1606" s="1290"/>
      <c r="L1606" s="1290"/>
      <c r="M1606" s="1290"/>
      <c r="N1606" s="1290"/>
      <c r="O1606" s="1290"/>
      <c r="P1606" s="1290"/>
    </row>
    <row r="1607" spans="1:16" s="1335" customFormat="1">
      <c r="A1607" s="1334"/>
      <c r="B1607" s="1290"/>
      <c r="C1607" s="1290"/>
      <c r="G1607" s="1290"/>
      <c r="H1607" s="1290"/>
      <c r="I1607" s="1290"/>
      <c r="J1607" s="1290"/>
      <c r="K1607" s="1290"/>
      <c r="L1607" s="1290"/>
      <c r="M1607" s="1290"/>
      <c r="N1607" s="1290"/>
      <c r="O1607" s="1290"/>
      <c r="P1607" s="1290"/>
    </row>
    <row r="1608" spans="1:16" s="1335" customFormat="1">
      <c r="A1608" s="1334"/>
      <c r="B1608" s="1290"/>
      <c r="C1608" s="1290"/>
      <c r="G1608" s="1290"/>
      <c r="H1608" s="1290"/>
      <c r="I1608" s="1290"/>
      <c r="J1608" s="1290"/>
      <c r="K1608" s="1290"/>
      <c r="L1608" s="1290"/>
      <c r="M1608" s="1290"/>
      <c r="N1608" s="1290"/>
      <c r="O1608" s="1290"/>
      <c r="P1608" s="1290"/>
    </row>
    <row r="1609" spans="1:16" s="1335" customFormat="1">
      <c r="A1609" s="1334"/>
      <c r="B1609" s="1290"/>
      <c r="C1609" s="1290"/>
      <c r="G1609" s="1290"/>
      <c r="H1609" s="1290"/>
      <c r="I1609" s="1290"/>
      <c r="J1609" s="1290"/>
      <c r="K1609" s="1290"/>
      <c r="L1609" s="1290"/>
      <c r="M1609" s="1290"/>
      <c r="N1609" s="1290"/>
      <c r="O1609" s="1290"/>
      <c r="P1609" s="1290"/>
    </row>
    <row r="1610" spans="1:16" s="1335" customFormat="1">
      <c r="A1610" s="1334"/>
      <c r="B1610" s="1290"/>
      <c r="C1610" s="1290"/>
      <c r="G1610" s="1290"/>
      <c r="H1610" s="1290"/>
      <c r="I1610" s="1290"/>
      <c r="J1610" s="1290"/>
      <c r="K1610" s="1290"/>
      <c r="L1610" s="1290"/>
      <c r="M1610" s="1290"/>
      <c r="N1610" s="1290"/>
      <c r="O1610" s="1290"/>
      <c r="P1610" s="1290"/>
    </row>
    <row r="1611" spans="1:16" s="1335" customFormat="1">
      <c r="A1611" s="1334"/>
      <c r="B1611" s="1290"/>
      <c r="C1611" s="1290"/>
      <c r="G1611" s="1290"/>
      <c r="H1611" s="1290"/>
      <c r="I1611" s="1290"/>
      <c r="J1611" s="1290"/>
      <c r="K1611" s="1290"/>
      <c r="L1611" s="1290"/>
      <c r="M1611" s="1290"/>
      <c r="N1611" s="1290"/>
      <c r="O1611" s="1290"/>
      <c r="P1611" s="1290"/>
    </row>
    <row r="1612" spans="1:16" s="1335" customFormat="1">
      <c r="A1612" s="1334"/>
      <c r="B1612" s="1290"/>
      <c r="C1612" s="1290"/>
      <c r="G1612" s="1290"/>
      <c r="H1612" s="1290"/>
      <c r="I1612" s="1290"/>
      <c r="J1612" s="1290"/>
      <c r="K1612" s="1290"/>
      <c r="L1612" s="1290"/>
      <c r="M1612" s="1290"/>
      <c r="N1612" s="1290"/>
      <c r="O1612" s="1290"/>
      <c r="P1612" s="1290"/>
    </row>
    <row r="1613" spans="1:16" s="1335" customFormat="1">
      <c r="A1613" s="1334"/>
      <c r="B1613" s="1290"/>
      <c r="C1613" s="1290"/>
      <c r="G1613" s="1290"/>
      <c r="H1613" s="1290"/>
      <c r="I1613" s="1290"/>
      <c r="J1613" s="1290"/>
      <c r="K1613" s="1290"/>
      <c r="L1613" s="1290"/>
      <c r="M1613" s="1290"/>
      <c r="N1613" s="1290"/>
      <c r="O1613" s="1290"/>
      <c r="P1613" s="1290"/>
    </row>
    <row r="1614" spans="1:16" s="1335" customFormat="1">
      <c r="A1614" s="1334"/>
      <c r="B1614" s="1290"/>
      <c r="C1614" s="1290"/>
      <c r="G1614" s="1290"/>
      <c r="H1614" s="1290"/>
      <c r="I1614" s="1290"/>
      <c r="J1614" s="1290"/>
      <c r="K1614" s="1290"/>
      <c r="L1614" s="1290"/>
      <c r="M1614" s="1290"/>
      <c r="N1614" s="1290"/>
      <c r="O1614" s="1290"/>
      <c r="P1614" s="1290"/>
    </row>
    <row r="1615" spans="1:16" s="1335" customFormat="1">
      <c r="A1615" s="1334"/>
      <c r="B1615" s="1290"/>
      <c r="C1615" s="1290"/>
      <c r="G1615" s="1290"/>
      <c r="H1615" s="1290"/>
      <c r="I1615" s="1290"/>
      <c r="J1615" s="1290"/>
      <c r="K1615" s="1290"/>
      <c r="L1615" s="1290"/>
      <c r="M1615" s="1290"/>
      <c r="N1615" s="1290"/>
      <c r="O1615" s="1290"/>
      <c r="P1615" s="1290"/>
    </row>
    <row r="1616" spans="1:16" s="1335" customFormat="1">
      <c r="A1616" s="1334"/>
      <c r="B1616" s="1290"/>
      <c r="C1616" s="1290"/>
      <c r="G1616" s="1290"/>
      <c r="H1616" s="1290"/>
      <c r="I1616" s="1290"/>
      <c r="J1616" s="1290"/>
      <c r="K1616" s="1290"/>
      <c r="L1616" s="1290"/>
      <c r="M1616" s="1290"/>
      <c r="N1616" s="1290"/>
      <c r="O1616" s="1290"/>
      <c r="P1616" s="1290"/>
    </row>
    <row r="1617" spans="1:16" s="1335" customFormat="1">
      <c r="A1617" s="1334"/>
      <c r="B1617" s="1290"/>
      <c r="C1617" s="1290"/>
      <c r="G1617" s="1290"/>
      <c r="H1617" s="1290"/>
      <c r="I1617" s="1290"/>
      <c r="J1617" s="1290"/>
      <c r="K1617" s="1290"/>
      <c r="L1617" s="1290"/>
      <c r="M1617" s="1290"/>
      <c r="N1617" s="1290"/>
      <c r="O1617" s="1290"/>
      <c r="P1617" s="1290"/>
    </row>
    <row r="1618" spans="1:16" s="1335" customFormat="1">
      <c r="A1618" s="1334"/>
      <c r="B1618" s="1290"/>
      <c r="C1618" s="1290"/>
      <c r="G1618" s="1290"/>
      <c r="H1618" s="1290"/>
      <c r="I1618" s="1290"/>
      <c r="J1618" s="1290"/>
      <c r="K1618" s="1290"/>
      <c r="L1618" s="1290"/>
      <c r="M1618" s="1290"/>
      <c r="N1618" s="1290"/>
      <c r="O1618" s="1290"/>
      <c r="P1618" s="1290"/>
    </row>
    <row r="1619" spans="1:16" s="1335" customFormat="1">
      <c r="A1619" s="1334"/>
      <c r="B1619" s="1290"/>
      <c r="C1619" s="1290"/>
      <c r="G1619" s="1290"/>
      <c r="H1619" s="1290"/>
      <c r="I1619" s="1290"/>
      <c r="J1619" s="1290"/>
      <c r="K1619" s="1290"/>
      <c r="L1619" s="1290"/>
      <c r="M1619" s="1290"/>
      <c r="N1619" s="1290"/>
      <c r="O1619" s="1290"/>
      <c r="P1619" s="1290"/>
    </row>
    <row r="1620" spans="1:16" s="1335" customFormat="1">
      <c r="A1620" s="1334"/>
      <c r="B1620" s="1290"/>
      <c r="C1620" s="1290"/>
      <c r="G1620" s="1290"/>
      <c r="H1620" s="1290"/>
      <c r="I1620" s="1290"/>
      <c r="J1620" s="1290"/>
      <c r="K1620" s="1290"/>
      <c r="L1620" s="1290"/>
      <c r="M1620" s="1290"/>
      <c r="N1620" s="1290"/>
      <c r="O1620" s="1290"/>
      <c r="P1620" s="1290"/>
    </row>
    <row r="1621" spans="1:16" s="1335" customFormat="1">
      <c r="A1621" s="1334"/>
      <c r="B1621" s="1290"/>
      <c r="C1621" s="1290"/>
      <c r="G1621" s="1290"/>
      <c r="H1621" s="1290"/>
      <c r="I1621" s="1290"/>
      <c r="J1621" s="1290"/>
      <c r="K1621" s="1290"/>
      <c r="L1621" s="1290"/>
      <c r="M1621" s="1290"/>
      <c r="N1621" s="1290"/>
      <c r="O1621" s="1290"/>
      <c r="P1621" s="1290"/>
    </row>
    <row r="1622" spans="1:16" s="1335" customFormat="1">
      <c r="A1622" s="1334"/>
      <c r="B1622" s="1290"/>
      <c r="C1622" s="1290"/>
      <c r="G1622" s="1290"/>
      <c r="H1622" s="1290"/>
      <c r="I1622" s="1290"/>
      <c r="J1622" s="1290"/>
      <c r="K1622" s="1290"/>
      <c r="L1622" s="1290"/>
      <c r="M1622" s="1290"/>
      <c r="N1622" s="1290"/>
      <c r="O1622" s="1290"/>
      <c r="P1622" s="1290"/>
    </row>
    <row r="1623" spans="1:16" s="1335" customFormat="1">
      <c r="A1623" s="1334"/>
      <c r="B1623" s="1290"/>
      <c r="C1623" s="1290"/>
      <c r="G1623" s="1290"/>
      <c r="H1623" s="1290"/>
      <c r="I1623" s="1290"/>
      <c r="J1623" s="1290"/>
      <c r="K1623" s="1290"/>
      <c r="L1623" s="1290"/>
      <c r="M1623" s="1290"/>
      <c r="N1623" s="1290"/>
      <c r="O1623" s="1290"/>
      <c r="P1623" s="1290"/>
    </row>
    <row r="1624" spans="1:16" s="1335" customFormat="1">
      <c r="A1624" s="1334"/>
      <c r="B1624" s="1290"/>
      <c r="C1624" s="1290"/>
      <c r="G1624" s="1290"/>
      <c r="H1624" s="1290"/>
      <c r="I1624" s="1290"/>
      <c r="J1624" s="1290"/>
      <c r="K1624" s="1290"/>
      <c r="L1624" s="1290"/>
      <c r="M1624" s="1290"/>
      <c r="N1624" s="1290"/>
      <c r="O1624" s="1290"/>
      <c r="P1624" s="1290"/>
    </row>
    <row r="1625" spans="1:16" s="1335" customFormat="1">
      <c r="A1625" s="1334"/>
      <c r="B1625" s="1290"/>
      <c r="C1625" s="1290"/>
      <c r="G1625" s="1290"/>
      <c r="H1625" s="1290"/>
      <c r="I1625" s="1290"/>
      <c r="J1625" s="1290"/>
      <c r="K1625" s="1290"/>
      <c r="L1625" s="1290"/>
      <c r="M1625" s="1290"/>
      <c r="N1625" s="1290"/>
      <c r="O1625" s="1290"/>
      <c r="P1625" s="1290"/>
    </row>
    <row r="1626" spans="1:16" s="1335" customFormat="1">
      <c r="A1626" s="1334"/>
      <c r="B1626" s="1290"/>
      <c r="C1626" s="1290"/>
      <c r="G1626" s="1290"/>
      <c r="H1626" s="1290"/>
      <c r="I1626" s="1290"/>
      <c r="J1626" s="1290"/>
      <c r="K1626" s="1290"/>
      <c r="L1626" s="1290"/>
      <c r="M1626" s="1290"/>
      <c r="N1626" s="1290"/>
      <c r="O1626" s="1290"/>
      <c r="P1626" s="1290"/>
    </row>
    <row r="1627" spans="1:16" s="1335" customFormat="1">
      <c r="A1627" s="1334"/>
      <c r="B1627" s="1290"/>
      <c r="C1627" s="1290"/>
      <c r="G1627" s="1290"/>
      <c r="H1627" s="1290"/>
      <c r="I1627" s="1290"/>
      <c r="J1627" s="1290"/>
      <c r="K1627" s="1290"/>
      <c r="L1627" s="1290"/>
      <c r="M1627" s="1290"/>
      <c r="N1627" s="1290"/>
      <c r="O1627" s="1290"/>
      <c r="P1627" s="1290"/>
    </row>
    <row r="1628" spans="1:16" s="1335" customFormat="1">
      <c r="A1628" s="1334"/>
      <c r="B1628" s="1290"/>
      <c r="C1628" s="1290"/>
      <c r="G1628" s="1290"/>
      <c r="H1628" s="1290"/>
      <c r="I1628" s="1290"/>
      <c r="J1628" s="1290"/>
      <c r="K1628" s="1290"/>
      <c r="L1628" s="1290"/>
      <c r="M1628" s="1290"/>
      <c r="N1628" s="1290"/>
      <c r="O1628" s="1290"/>
      <c r="P1628" s="1290"/>
    </row>
    <row r="1629" spans="1:16" s="1335" customFormat="1">
      <c r="A1629" s="1334"/>
      <c r="B1629" s="1290"/>
      <c r="C1629" s="1290"/>
      <c r="G1629" s="1290"/>
      <c r="H1629" s="1290"/>
      <c r="I1629" s="1290"/>
      <c r="J1629" s="1290"/>
      <c r="K1629" s="1290"/>
      <c r="L1629" s="1290"/>
      <c r="M1629" s="1290"/>
      <c r="N1629" s="1290"/>
      <c r="O1629" s="1290"/>
      <c r="P1629" s="1290"/>
    </row>
    <row r="1630" spans="1:16" s="1335" customFormat="1">
      <c r="A1630" s="1334"/>
      <c r="B1630" s="1290"/>
      <c r="C1630" s="1290"/>
      <c r="G1630" s="1290"/>
      <c r="H1630" s="1290"/>
      <c r="I1630" s="1290"/>
      <c r="J1630" s="1290"/>
      <c r="K1630" s="1290"/>
      <c r="L1630" s="1290"/>
      <c r="M1630" s="1290"/>
      <c r="N1630" s="1290"/>
      <c r="O1630" s="1290"/>
      <c r="P1630" s="1290"/>
    </row>
    <row r="1631" spans="1:16" s="1335" customFormat="1">
      <c r="A1631" s="1334"/>
      <c r="B1631" s="1290"/>
      <c r="C1631" s="1290"/>
      <c r="G1631" s="1290"/>
      <c r="H1631" s="1290"/>
      <c r="I1631" s="1290"/>
      <c r="J1631" s="1290"/>
      <c r="K1631" s="1290"/>
      <c r="L1631" s="1290"/>
      <c r="M1631" s="1290"/>
      <c r="N1631" s="1290"/>
      <c r="O1631" s="1290"/>
      <c r="P1631" s="1290"/>
    </row>
    <row r="1632" spans="1:16" s="1335" customFormat="1">
      <c r="A1632" s="1334"/>
      <c r="B1632" s="1290"/>
      <c r="C1632" s="1290"/>
      <c r="G1632" s="1290"/>
      <c r="H1632" s="1290"/>
      <c r="I1632" s="1290"/>
      <c r="J1632" s="1290"/>
      <c r="K1632" s="1290"/>
      <c r="L1632" s="1290"/>
      <c r="M1632" s="1290"/>
      <c r="N1632" s="1290"/>
      <c r="O1632" s="1290"/>
      <c r="P1632" s="1290"/>
    </row>
    <row r="1633" spans="1:16" s="1335" customFormat="1">
      <c r="A1633" s="1334"/>
      <c r="B1633" s="1290"/>
      <c r="C1633" s="1290"/>
      <c r="G1633" s="1290"/>
      <c r="H1633" s="1290"/>
      <c r="I1633" s="1290"/>
      <c r="J1633" s="1290"/>
      <c r="K1633" s="1290"/>
      <c r="L1633" s="1290"/>
      <c r="M1633" s="1290"/>
      <c r="N1633" s="1290"/>
      <c r="O1633" s="1290"/>
      <c r="P1633" s="1290"/>
    </row>
    <row r="1634" spans="1:16" s="1335" customFormat="1">
      <c r="A1634" s="1334"/>
      <c r="B1634" s="1290"/>
      <c r="C1634" s="1290"/>
      <c r="G1634" s="1290"/>
      <c r="H1634" s="1290"/>
      <c r="I1634" s="1290"/>
      <c r="J1634" s="1290"/>
      <c r="K1634" s="1290"/>
      <c r="L1634" s="1290"/>
      <c r="M1634" s="1290"/>
      <c r="N1634" s="1290"/>
      <c r="O1634" s="1290"/>
      <c r="P1634" s="1290"/>
    </row>
    <row r="1635" spans="1:16" s="1335" customFormat="1">
      <c r="A1635" s="1334"/>
      <c r="B1635" s="1290"/>
      <c r="C1635" s="1290"/>
      <c r="G1635" s="1290"/>
      <c r="H1635" s="1290"/>
      <c r="I1635" s="1290"/>
      <c r="J1635" s="1290"/>
      <c r="K1635" s="1290"/>
      <c r="L1635" s="1290"/>
      <c r="M1635" s="1290"/>
      <c r="N1635" s="1290"/>
      <c r="O1635" s="1290"/>
      <c r="P1635" s="1290"/>
    </row>
    <row r="1636" spans="1:16" s="1335" customFormat="1">
      <c r="A1636" s="1334"/>
      <c r="B1636" s="1290"/>
      <c r="C1636" s="1290"/>
      <c r="G1636" s="1290"/>
      <c r="H1636" s="1290"/>
      <c r="I1636" s="1290"/>
      <c r="J1636" s="1290"/>
      <c r="K1636" s="1290"/>
      <c r="L1636" s="1290"/>
      <c r="M1636" s="1290"/>
      <c r="N1636" s="1290"/>
      <c r="O1636" s="1290"/>
      <c r="P1636" s="1290"/>
    </row>
    <row r="1637" spans="1:16" s="1335" customFormat="1">
      <c r="A1637" s="1334"/>
      <c r="B1637" s="1290"/>
      <c r="C1637" s="1290"/>
      <c r="G1637" s="1290"/>
      <c r="H1637" s="1290"/>
      <c r="I1637" s="1290"/>
      <c r="J1637" s="1290"/>
      <c r="K1637" s="1290"/>
      <c r="L1637" s="1290"/>
      <c r="M1637" s="1290"/>
      <c r="N1637" s="1290"/>
      <c r="O1637" s="1290"/>
      <c r="P1637" s="1290"/>
    </row>
    <row r="1638" spans="1:16" s="1335" customFormat="1">
      <c r="A1638" s="1334"/>
      <c r="B1638" s="1290"/>
      <c r="C1638" s="1290"/>
      <c r="G1638" s="1290"/>
      <c r="H1638" s="1290"/>
      <c r="I1638" s="1290"/>
      <c r="J1638" s="1290"/>
      <c r="K1638" s="1290"/>
      <c r="L1638" s="1290"/>
      <c r="M1638" s="1290"/>
      <c r="N1638" s="1290"/>
      <c r="O1638" s="1290"/>
      <c r="P1638" s="1290"/>
    </row>
    <row r="1639" spans="1:16" s="1335" customFormat="1">
      <c r="A1639" s="1334"/>
      <c r="B1639" s="1290"/>
      <c r="C1639" s="1290"/>
      <c r="G1639" s="1290"/>
      <c r="H1639" s="1290"/>
      <c r="I1639" s="1290"/>
      <c r="J1639" s="1290"/>
      <c r="K1639" s="1290"/>
      <c r="L1639" s="1290"/>
      <c r="M1639" s="1290"/>
      <c r="N1639" s="1290"/>
      <c r="O1639" s="1290"/>
      <c r="P1639" s="1290"/>
    </row>
    <row r="1640" spans="1:16" s="1335" customFormat="1">
      <c r="A1640" s="1334"/>
      <c r="B1640" s="1290"/>
      <c r="C1640" s="1290"/>
      <c r="G1640" s="1290"/>
      <c r="H1640" s="1290"/>
      <c r="I1640" s="1290"/>
      <c r="J1640" s="1290"/>
      <c r="K1640" s="1290"/>
      <c r="L1640" s="1290"/>
      <c r="M1640" s="1290"/>
      <c r="N1640" s="1290"/>
      <c r="O1640" s="1290"/>
      <c r="P1640" s="1290"/>
    </row>
    <row r="1641" spans="1:16" s="1335" customFormat="1">
      <c r="A1641" s="1334"/>
      <c r="B1641" s="1290"/>
      <c r="C1641" s="1290"/>
      <c r="G1641" s="1290"/>
      <c r="H1641" s="1290"/>
      <c r="I1641" s="1290"/>
      <c r="J1641" s="1290"/>
      <c r="K1641" s="1290"/>
      <c r="L1641" s="1290"/>
      <c r="M1641" s="1290"/>
      <c r="N1641" s="1290"/>
      <c r="O1641" s="1290"/>
      <c r="P1641" s="1290"/>
    </row>
    <row r="1642" spans="1:16" s="1335" customFormat="1">
      <c r="A1642" s="1334"/>
      <c r="B1642" s="1290"/>
      <c r="C1642" s="1290"/>
      <c r="G1642" s="1290"/>
      <c r="H1642" s="1290"/>
      <c r="I1642" s="1290"/>
      <c r="J1642" s="1290"/>
      <c r="K1642" s="1290"/>
      <c r="L1642" s="1290"/>
      <c r="M1642" s="1290"/>
      <c r="N1642" s="1290"/>
      <c r="O1642" s="1290"/>
      <c r="P1642" s="1290"/>
    </row>
    <row r="1643" spans="1:16" s="1335" customFormat="1">
      <c r="A1643" s="1334"/>
      <c r="B1643" s="1290"/>
      <c r="C1643" s="1290"/>
      <c r="G1643" s="1290"/>
      <c r="H1643" s="1290"/>
      <c r="I1643" s="1290"/>
      <c r="J1643" s="1290"/>
      <c r="K1643" s="1290"/>
      <c r="L1643" s="1290"/>
      <c r="M1643" s="1290"/>
      <c r="N1643" s="1290"/>
      <c r="O1643" s="1290"/>
      <c r="P1643" s="1290"/>
    </row>
    <row r="1644" spans="1:16" s="1335" customFormat="1">
      <c r="A1644" s="1334"/>
      <c r="B1644" s="1290"/>
      <c r="C1644" s="1290"/>
      <c r="G1644" s="1290"/>
      <c r="H1644" s="1290"/>
      <c r="I1644" s="1290"/>
      <c r="J1644" s="1290"/>
      <c r="K1644" s="1290"/>
      <c r="L1644" s="1290"/>
      <c r="M1644" s="1290"/>
      <c r="N1644" s="1290"/>
      <c r="O1644" s="1290"/>
      <c r="P1644" s="1290"/>
    </row>
    <row r="1645" spans="1:16" s="1335" customFormat="1">
      <c r="A1645" s="1334"/>
      <c r="B1645" s="1290"/>
      <c r="C1645" s="1290"/>
      <c r="G1645" s="1290"/>
      <c r="H1645" s="1290"/>
      <c r="I1645" s="1290"/>
      <c r="J1645" s="1290"/>
      <c r="K1645" s="1290"/>
      <c r="L1645" s="1290"/>
      <c r="M1645" s="1290"/>
      <c r="N1645" s="1290"/>
      <c r="O1645" s="1290"/>
      <c r="P1645" s="1290"/>
    </row>
    <row r="1646" spans="1:16" s="1335" customFormat="1">
      <c r="A1646" s="1334"/>
      <c r="B1646" s="1290"/>
      <c r="C1646" s="1290"/>
      <c r="G1646" s="1290"/>
      <c r="H1646" s="1290"/>
      <c r="I1646" s="1290"/>
      <c r="J1646" s="1290"/>
      <c r="K1646" s="1290"/>
      <c r="L1646" s="1290"/>
      <c r="M1646" s="1290"/>
      <c r="N1646" s="1290"/>
      <c r="O1646" s="1290"/>
      <c r="P1646" s="1290"/>
    </row>
    <row r="1647" spans="1:16" s="1335" customFormat="1">
      <c r="A1647" s="1334"/>
      <c r="B1647" s="1290"/>
      <c r="C1647" s="1290"/>
      <c r="G1647" s="1290"/>
      <c r="H1647" s="1290"/>
      <c r="I1647" s="1290"/>
      <c r="J1647" s="1290"/>
      <c r="K1647" s="1290"/>
      <c r="L1647" s="1290"/>
      <c r="M1647" s="1290"/>
      <c r="N1647" s="1290"/>
      <c r="O1647" s="1290"/>
      <c r="P1647" s="1290"/>
    </row>
    <row r="1648" spans="1:16" s="1335" customFormat="1">
      <c r="A1648" s="1334"/>
      <c r="B1648" s="1290"/>
      <c r="C1648" s="1290"/>
      <c r="G1648" s="1290"/>
      <c r="H1648" s="1290"/>
      <c r="I1648" s="1290"/>
      <c r="J1648" s="1290"/>
      <c r="K1648" s="1290"/>
      <c r="L1648" s="1290"/>
      <c r="M1648" s="1290"/>
      <c r="N1648" s="1290"/>
      <c r="O1648" s="1290"/>
      <c r="P1648" s="1290"/>
    </row>
    <row r="1649" spans="1:16" s="1335" customFormat="1">
      <c r="A1649" s="1334"/>
      <c r="B1649" s="1290"/>
      <c r="C1649" s="1290"/>
      <c r="G1649" s="1290"/>
      <c r="H1649" s="1290"/>
      <c r="I1649" s="1290"/>
      <c r="J1649" s="1290"/>
      <c r="K1649" s="1290"/>
      <c r="L1649" s="1290"/>
      <c r="M1649" s="1290"/>
      <c r="N1649" s="1290"/>
      <c r="O1649" s="1290"/>
      <c r="P1649" s="1290"/>
    </row>
    <row r="1650" spans="1:16" s="1335" customFormat="1">
      <c r="A1650" s="1334"/>
      <c r="B1650" s="1290"/>
      <c r="C1650" s="1290"/>
      <c r="G1650" s="1290"/>
      <c r="H1650" s="1290"/>
      <c r="I1650" s="1290"/>
      <c r="J1650" s="1290"/>
      <c r="K1650" s="1290"/>
      <c r="L1650" s="1290"/>
      <c r="M1650" s="1290"/>
      <c r="N1650" s="1290"/>
      <c r="O1650" s="1290"/>
      <c r="P1650" s="1290"/>
    </row>
    <row r="1651" spans="1:16" s="1335" customFormat="1">
      <c r="A1651" s="1334"/>
      <c r="B1651" s="1290"/>
      <c r="C1651" s="1290"/>
      <c r="G1651" s="1290"/>
      <c r="H1651" s="1290"/>
      <c r="I1651" s="1290"/>
      <c r="J1651" s="1290"/>
      <c r="K1651" s="1290"/>
      <c r="L1651" s="1290"/>
      <c r="M1651" s="1290"/>
      <c r="N1651" s="1290"/>
      <c r="O1651" s="1290"/>
      <c r="P1651" s="1290"/>
    </row>
    <row r="1652" spans="1:16" s="1335" customFormat="1">
      <c r="A1652" s="1334"/>
      <c r="B1652" s="1290"/>
      <c r="C1652" s="1290"/>
      <c r="G1652" s="1290"/>
      <c r="H1652" s="1290"/>
      <c r="I1652" s="1290"/>
      <c r="J1652" s="1290"/>
      <c r="K1652" s="1290"/>
      <c r="L1652" s="1290"/>
      <c r="M1652" s="1290"/>
      <c r="N1652" s="1290"/>
      <c r="O1652" s="1290"/>
      <c r="P1652" s="1290"/>
    </row>
    <row r="1653" spans="1:16" s="1335" customFormat="1">
      <c r="A1653" s="1334"/>
      <c r="B1653" s="1290"/>
      <c r="C1653" s="1290"/>
      <c r="G1653" s="1290"/>
      <c r="H1653" s="1290"/>
      <c r="I1653" s="1290"/>
      <c r="J1653" s="1290"/>
      <c r="K1653" s="1290"/>
      <c r="L1653" s="1290"/>
      <c r="M1653" s="1290"/>
      <c r="N1653" s="1290"/>
      <c r="O1653" s="1290"/>
      <c r="P1653" s="1290"/>
    </row>
    <row r="1654" spans="1:16" s="1335" customFormat="1">
      <c r="A1654" s="1334"/>
      <c r="B1654" s="1290"/>
      <c r="C1654" s="1290"/>
      <c r="G1654" s="1290"/>
      <c r="H1654" s="1290"/>
      <c r="I1654" s="1290"/>
      <c r="J1654" s="1290"/>
      <c r="K1654" s="1290"/>
      <c r="L1654" s="1290"/>
      <c r="M1654" s="1290"/>
      <c r="N1654" s="1290"/>
      <c r="O1654" s="1290"/>
      <c r="P1654" s="1290"/>
    </row>
    <row r="1655" spans="1:16" s="1335" customFormat="1">
      <c r="A1655" s="1334"/>
      <c r="B1655" s="1290"/>
      <c r="C1655" s="1290"/>
      <c r="G1655" s="1290"/>
      <c r="H1655" s="1290"/>
      <c r="I1655" s="1290"/>
      <c r="J1655" s="1290"/>
      <c r="K1655" s="1290"/>
      <c r="L1655" s="1290"/>
      <c r="M1655" s="1290"/>
      <c r="N1655" s="1290"/>
      <c r="O1655" s="1290"/>
      <c r="P1655" s="1290"/>
    </row>
    <row r="1656" spans="1:16" s="1335" customFormat="1">
      <c r="A1656" s="1334"/>
      <c r="B1656" s="1290"/>
      <c r="C1656" s="1290"/>
      <c r="G1656" s="1290"/>
      <c r="H1656" s="1290"/>
      <c r="I1656" s="1290"/>
      <c r="J1656" s="1290"/>
      <c r="K1656" s="1290"/>
      <c r="L1656" s="1290"/>
      <c r="M1656" s="1290"/>
      <c r="N1656" s="1290"/>
      <c r="O1656" s="1290"/>
      <c r="P1656" s="1290"/>
    </row>
    <row r="1657" spans="1:16" s="1335" customFormat="1">
      <c r="A1657" s="1334"/>
      <c r="B1657" s="1290"/>
      <c r="C1657" s="1290"/>
      <c r="G1657" s="1290"/>
      <c r="H1657" s="1290"/>
      <c r="I1657" s="1290"/>
      <c r="J1657" s="1290"/>
      <c r="K1657" s="1290"/>
      <c r="L1657" s="1290"/>
      <c r="M1657" s="1290"/>
      <c r="N1657" s="1290"/>
      <c r="O1657" s="1290"/>
      <c r="P1657" s="1290"/>
    </row>
    <row r="1658" spans="1:16" s="1335" customFormat="1">
      <c r="A1658" s="1334"/>
      <c r="B1658" s="1290"/>
      <c r="C1658" s="1290"/>
      <c r="G1658" s="1290"/>
      <c r="H1658" s="1290"/>
      <c r="I1658" s="1290"/>
      <c r="J1658" s="1290"/>
      <c r="K1658" s="1290"/>
      <c r="L1658" s="1290"/>
      <c r="M1658" s="1290"/>
      <c r="N1658" s="1290"/>
      <c r="O1658" s="1290"/>
      <c r="P1658" s="1290"/>
    </row>
    <row r="1659" spans="1:16" s="1335" customFormat="1">
      <c r="A1659" s="1334"/>
      <c r="B1659" s="1290"/>
      <c r="C1659" s="1290"/>
      <c r="G1659" s="1290"/>
      <c r="H1659" s="1290"/>
      <c r="I1659" s="1290"/>
      <c r="J1659" s="1290"/>
      <c r="K1659" s="1290"/>
      <c r="L1659" s="1290"/>
      <c r="M1659" s="1290"/>
      <c r="N1659" s="1290"/>
      <c r="O1659" s="1290"/>
      <c r="P1659" s="1290"/>
    </row>
    <row r="1660" spans="1:16" s="1335" customFormat="1">
      <c r="A1660" s="1334"/>
      <c r="B1660" s="1290"/>
      <c r="C1660" s="1290"/>
      <c r="G1660" s="1290"/>
      <c r="H1660" s="1290"/>
      <c r="I1660" s="1290"/>
      <c r="J1660" s="1290"/>
      <c r="K1660" s="1290"/>
      <c r="L1660" s="1290"/>
      <c r="M1660" s="1290"/>
      <c r="N1660" s="1290"/>
      <c r="O1660" s="1290"/>
      <c r="P1660" s="1290"/>
    </row>
    <row r="1661" spans="1:16" s="1335" customFormat="1">
      <c r="A1661" s="1334"/>
      <c r="B1661" s="1290"/>
      <c r="C1661" s="1290"/>
      <c r="G1661" s="1290"/>
      <c r="H1661" s="1290"/>
      <c r="I1661" s="1290"/>
      <c r="J1661" s="1290"/>
      <c r="K1661" s="1290"/>
      <c r="L1661" s="1290"/>
      <c r="M1661" s="1290"/>
      <c r="N1661" s="1290"/>
      <c r="O1661" s="1290"/>
      <c r="P1661" s="1290"/>
    </row>
    <row r="1662" spans="1:16" s="1335" customFormat="1">
      <c r="A1662" s="1334"/>
      <c r="B1662" s="1290"/>
      <c r="C1662" s="1290"/>
      <c r="G1662" s="1290"/>
      <c r="H1662" s="1290"/>
      <c r="I1662" s="1290"/>
      <c r="J1662" s="1290"/>
      <c r="K1662" s="1290"/>
      <c r="L1662" s="1290"/>
      <c r="M1662" s="1290"/>
      <c r="N1662" s="1290"/>
      <c r="O1662" s="1290"/>
      <c r="P1662" s="1290"/>
    </row>
    <row r="1663" spans="1:16" s="1335" customFormat="1">
      <c r="A1663" s="1334"/>
      <c r="B1663" s="1290"/>
      <c r="C1663" s="1290"/>
      <c r="G1663" s="1290"/>
      <c r="H1663" s="1290"/>
      <c r="I1663" s="1290"/>
      <c r="J1663" s="1290"/>
      <c r="K1663" s="1290"/>
      <c r="L1663" s="1290"/>
      <c r="M1663" s="1290"/>
      <c r="N1663" s="1290"/>
      <c r="O1663" s="1290"/>
      <c r="P1663" s="1290"/>
    </row>
    <row r="1664" spans="1:16" s="1335" customFormat="1">
      <c r="A1664" s="1334"/>
      <c r="B1664" s="1290"/>
      <c r="C1664" s="1290"/>
      <c r="G1664" s="1290"/>
      <c r="H1664" s="1290"/>
      <c r="I1664" s="1290"/>
      <c r="J1664" s="1290"/>
      <c r="K1664" s="1290"/>
      <c r="L1664" s="1290"/>
      <c r="M1664" s="1290"/>
      <c r="N1664" s="1290"/>
      <c r="O1664" s="1290"/>
      <c r="P1664" s="1290"/>
    </row>
    <row r="1665" spans="1:16" s="1335" customFormat="1">
      <c r="A1665" s="1334"/>
      <c r="B1665" s="1290"/>
      <c r="C1665" s="1290"/>
      <c r="G1665" s="1290"/>
      <c r="H1665" s="1290"/>
      <c r="I1665" s="1290"/>
      <c r="J1665" s="1290"/>
      <c r="K1665" s="1290"/>
      <c r="L1665" s="1290"/>
      <c r="M1665" s="1290"/>
      <c r="N1665" s="1290"/>
      <c r="O1665" s="1290"/>
      <c r="P1665" s="1290"/>
    </row>
    <row r="1666" spans="1:16" s="1335" customFormat="1">
      <c r="A1666" s="1334"/>
      <c r="B1666" s="1290"/>
      <c r="C1666" s="1290"/>
      <c r="G1666" s="1290"/>
      <c r="H1666" s="1290"/>
      <c r="I1666" s="1290"/>
      <c r="J1666" s="1290"/>
      <c r="K1666" s="1290"/>
      <c r="L1666" s="1290"/>
      <c r="M1666" s="1290"/>
      <c r="N1666" s="1290"/>
      <c r="O1666" s="1290"/>
      <c r="P1666" s="1290"/>
    </row>
    <row r="1667" spans="1:16" s="1335" customFormat="1">
      <c r="A1667" s="1334"/>
      <c r="B1667" s="1290"/>
      <c r="C1667" s="1290"/>
      <c r="G1667" s="1290"/>
      <c r="H1667" s="1290"/>
      <c r="I1667" s="1290"/>
      <c r="J1667" s="1290"/>
      <c r="K1667" s="1290"/>
      <c r="L1667" s="1290"/>
      <c r="M1667" s="1290"/>
      <c r="N1667" s="1290"/>
      <c r="O1667" s="1290"/>
      <c r="P1667" s="1290"/>
    </row>
    <row r="1668" spans="1:16" s="1335" customFormat="1">
      <c r="A1668" s="1334"/>
      <c r="B1668" s="1290"/>
      <c r="C1668" s="1290"/>
      <c r="G1668" s="1290"/>
      <c r="H1668" s="1290"/>
      <c r="I1668" s="1290"/>
      <c r="J1668" s="1290"/>
      <c r="K1668" s="1290"/>
      <c r="L1668" s="1290"/>
      <c r="M1668" s="1290"/>
      <c r="N1668" s="1290"/>
      <c r="O1668" s="1290"/>
      <c r="P1668" s="1290"/>
    </row>
    <row r="1669" spans="1:16" s="1335" customFormat="1">
      <c r="A1669" s="1334"/>
      <c r="B1669" s="1290"/>
      <c r="C1669" s="1290"/>
      <c r="G1669" s="1290"/>
      <c r="H1669" s="1290"/>
      <c r="I1669" s="1290"/>
      <c r="J1669" s="1290"/>
      <c r="K1669" s="1290"/>
      <c r="L1669" s="1290"/>
      <c r="M1669" s="1290"/>
      <c r="N1669" s="1290"/>
      <c r="O1669" s="1290"/>
      <c r="P1669" s="1290"/>
    </row>
    <row r="1670" spans="1:16" s="1335" customFormat="1">
      <c r="A1670" s="1334"/>
      <c r="B1670" s="1290"/>
      <c r="C1670" s="1290"/>
      <c r="G1670" s="1290"/>
      <c r="H1670" s="1290"/>
      <c r="I1670" s="1290"/>
      <c r="J1670" s="1290"/>
      <c r="K1670" s="1290"/>
      <c r="L1670" s="1290"/>
      <c r="M1670" s="1290"/>
      <c r="N1670" s="1290"/>
      <c r="O1670" s="1290"/>
      <c r="P1670" s="1290"/>
    </row>
    <row r="1671" spans="1:16" s="1335" customFormat="1">
      <c r="A1671" s="1334"/>
      <c r="B1671" s="1290"/>
      <c r="C1671" s="1290"/>
      <c r="G1671" s="1290"/>
      <c r="H1671" s="1290"/>
      <c r="I1671" s="1290"/>
      <c r="J1671" s="1290"/>
      <c r="K1671" s="1290"/>
      <c r="L1671" s="1290"/>
      <c r="M1671" s="1290"/>
      <c r="N1671" s="1290"/>
      <c r="O1671" s="1290"/>
      <c r="P1671" s="1290"/>
    </row>
    <row r="1672" spans="1:16" s="1335" customFormat="1">
      <c r="A1672" s="1334"/>
      <c r="B1672" s="1290"/>
      <c r="C1672" s="1290"/>
      <c r="G1672" s="1290"/>
      <c r="H1672" s="1290"/>
      <c r="I1672" s="1290"/>
      <c r="J1672" s="1290"/>
      <c r="K1672" s="1290"/>
      <c r="L1672" s="1290"/>
      <c r="M1672" s="1290"/>
      <c r="N1672" s="1290"/>
      <c r="O1672" s="1290"/>
      <c r="P1672" s="1290"/>
    </row>
    <row r="1673" spans="1:16" s="1335" customFormat="1">
      <c r="A1673" s="1334"/>
      <c r="B1673" s="1290"/>
      <c r="C1673" s="1290"/>
      <c r="G1673" s="1290"/>
      <c r="H1673" s="1290"/>
      <c r="I1673" s="1290"/>
      <c r="J1673" s="1290"/>
      <c r="K1673" s="1290"/>
      <c r="L1673" s="1290"/>
      <c r="M1673" s="1290"/>
      <c r="N1673" s="1290"/>
      <c r="O1673" s="1290"/>
      <c r="P1673" s="1290"/>
    </row>
    <row r="1674" spans="1:16" s="1335" customFormat="1">
      <c r="A1674" s="1334"/>
      <c r="B1674" s="1290"/>
      <c r="C1674" s="1290"/>
      <c r="G1674" s="1290"/>
      <c r="H1674" s="1290"/>
      <c r="I1674" s="1290"/>
      <c r="J1674" s="1290"/>
      <c r="K1674" s="1290"/>
      <c r="L1674" s="1290"/>
      <c r="M1674" s="1290"/>
      <c r="N1674" s="1290"/>
      <c r="O1674" s="1290"/>
      <c r="P1674" s="1290"/>
    </row>
    <row r="1675" spans="1:16" s="1335" customFormat="1">
      <c r="A1675" s="1334"/>
      <c r="B1675" s="1290"/>
      <c r="C1675" s="1290"/>
      <c r="G1675" s="1290"/>
      <c r="H1675" s="1290"/>
      <c r="I1675" s="1290"/>
      <c r="J1675" s="1290"/>
      <c r="K1675" s="1290"/>
      <c r="L1675" s="1290"/>
      <c r="M1675" s="1290"/>
      <c r="N1675" s="1290"/>
      <c r="O1675" s="1290"/>
      <c r="P1675" s="1290"/>
    </row>
    <row r="1676" spans="1:16" s="1335" customFormat="1">
      <c r="A1676" s="1334"/>
      <c r="B1676" s="1290"/>
      <c r="C1676" s="1290"/>
      <c r="G1676" s="1290"/>
      <c r="H1676" s="1290"/>
      <c r="I1676" s="1290"/>
      <c r="J1676" s="1290"/>
      <c r="K1676" s="1290"/>
      <c r="L1676" s="1290"/>
      <c r="M1676" s="1290"/>
      <c r="N1676" s="1290"/>
      <c r="O1676" s="1290"/>
      <c r="P1676" s="1290"/>
    </row>
    <row r="1677" spans="1:16" s="1335" customFormat="1">
      <c r="A1677" s="1334"/>
      <c r="B1677" s="1290"/>
      <c r="C1677" s="1290"/>
      <c r="G1677" s="1290"/>
      <c r="H1677" s="1290"/>
      <c r="I1677" s="1290"/>
      <c r="J1677" s="1290"/>
      <c r="K1677" s="1290"/>
      <c r="L1677" s="1290"/>
      <c r="M1677" s="1290"/>
      <c r="N1677" s="1290"/>
      <c r="O1677" s="1290"/>
      <c r="P1677" s="1290"/>
    </row>
    <row r="1678" spans="1:16" s="1335" customFormat="1">
      <c r="A1678" s="1334"/>
      <c r="B1678" s="1290"/>
      <c r="C1678" s="1290"/>
      <c r="G1678" s="1290"/>
      <c r="H1678" s="1290"/>
      <c r="I1678" s="1290"/>
      <c r="J1678" s="1290"/>
      <c r="K1678" s="1290"/>
      <c r="L1678" s="1290"/>
      <c r="M1678" s="1290"/>
      <c r="N1678" s="1290"/>
      <c r="O1678" s="1290"/>
      <c r="P1678" s="1290"/>
    </row>
    <row r="1679" spans="1:16" s="1335" customFormat="1">
      <c r="A1679" s="1334"/>
      <c r="B1679" s="1290"/>
      <c r="C1679" s="1290"/>
      <c r="G1679" s="1290"/>
      <c r="H1679" s="1290"/>
      <c r="I1679" s="1290"/>
      <c r="J1679" s="1290"/>
      <c r="K1679" s="1290"/>
      <c r="L1679" s="1290"/>
      <c r="M1679" s="1290"/>
      <c r="N1679" s="1290"/>
      <c r="O1679" s="1290"/>
      <c r="P1679" s="1290"/>
    </row>
    <row r="1680" spans="1:16" s="1335" customFormat="1">
      <c r="A1680" s="1334"/>
      <c r="B1680" s="1290"/>
      <c r="C1680" s="1290"/>
      <c r="G1680" s="1290"/>
      <c r="H1680" s="1290"/>
      <c r="I1680" s="1290"/>
      <c r="J1680" s="1290"/>
      <c r="K1680" s="1290"/>
      <c r="L1680" s="1290"/>
      <c r="M1680" s="1290"/>
      <c r="N1680" s="1290"/>
      <c r="O1680" s="1290"/>
      <c r="P1680" s="1290"/>
    </row>
    <row r="1681" spans="1:16" s="1335" customFormat="1">
      <c r="A1681" s="1334"/>
      <c r="B1681" s="1290"/>
      <c r="C1681" s="1290"/>
      <c r="G1681" s="1290"/>
      <c r="H1681" s="1290"/>
      <c r="I1681" s="1290"/>
      <c r="J1681" s="1290"/>
      <c r="K1681" s="1290"/>
      <c r="L1681" s="1290"/>
      <c r="M1681" s="1290"/>
      <c r="N1681" s="1290"/>
      <c r="O1681" s="1290"/>
      <c r="P1681" s="1290"/>
    </row>
    <row r="1682" spans="1:16" s="1335" customFormat="1">
      <c r="A1682" s="1334"/>
      <c r="B1682" s="1290"/>
      <c r="C1682" s="1290"/>
      <c r="G1682" s="1290"/>
      <c r="H1682" s="1290"/>
      <c r="I1682" s="1290"/>
      <c r="J1682" s="1290"/>
      <c r="K1682" s="1290"/>
      <c r="L1682" s="1290"/>
      <c r="M1682" s="1290"/>
      <c r="N1682" s="1290"/>
      <c r="O1682" s="1290"/>
      <c r="P1682" s="1290"/>
    </row>
    <row r="1683" spans="1:16" s="1335" customFormat="1">
      <c r="A1683" s="1334"/>
      <c r="B1683" s="1290"/>
      <c r="C1683" s="1290"/>
      <c r="G1683" s="1290"/>
      <c r="H1683" s="1290"/>
      <c r="I1683" s="1290"/>
      <c r="J1683" s="1290"/>
      <c r="K1683" s="1290"/>
      <c r="L1683" s="1290"/>
      <c r="M1683" s="1290"/>
      <c r="N1683" s="1290"/>
      <c r="O1683" s="1290"/>
      <c r="P1683" s="1290"/>
    </row>
    <row r="1684" spans="1:16" s="1335" customFormat="1">
      <c r="A1684" s="1334"/>
      <c r="B1684" s="1290"/>
      <c r="C1684" s="1290"/>
      <c r="G1684" s="1290"/>
      <c r="H1684" s="1290"/>
      <c r="I1684" s="1290"/>
      <c r="J1684" s="1290"/>
      <c r="K1684" s="1290"/>
      <c r="L1684" s="1290"/>
      <c r="M1684" s="1290"/>
      <c r="N1684" s="1290"/>
      <c r="O1684" s="1290"/>
      <c r="P1684" s="1290"/>
    </row>
    <row r="1685" spans="1:16" s="1335" customFormat="1">
      <c r="A1685" s="1334"/>
      <c r="B1685" s="1290"/>
      <c r="C1685" s="1290"/>
      <c r="G1685" s="1290"/>
      <c r="H1685" s="1290"/>
      <c r="I1685" s="1290"/>
      <c r="J1685" s="1290"/>
      <c r="K1685" s="1290"/>
      <c r="L1685" s="1290"/>
      <c r="M1685" s="1290"/>
      <c r="N1685" s="1290"/>
      <c r="O1685" s="1290"/>
      <c r="P1685" s="1290"/>
    </row>
    <row r="1686" spans="1:16" s="1335" customFormat="1">
      <c r="A1686" s="1334"/>
      <c r="B1686" s="1290"/>
      <c r="C1686" s="1290"/>
      <c r="G1686" s="1290"/>
      <c r="H1686" s="1290"/>
      <c r="I1686" s="1290"/>
      <c r="J1686" s="1290"/>
      <c r="K1686" s="1290"/>
      <c r="L1686" s="1290"/>
      <c r="M1686" s="1290"/>
      <c r="N1686" s="1290"/>
      <c r="O1686" s="1290"/>
      <c r="P1686" s="1290"/>
    </row>
    <row r="1687" spans="1:16" s="1335" customFormat="1">
      <c r="A1687" s="1334"/>
      <c r="B1687" s="1290"/>
      <c r="C1687" s="1290"/>
      <c r="G1687" s="1290"/>
      <c r="H1687" s="1290"/>
      <c r="I1687" s="1290"/>
      <c r="J1687" s="1290"/>
      <c r="K1687" s="1290"/>
      <c r="L1687" s="1290"/>
      <c r="M1687" s="1290"/>
      <c r="N1687" s="1290"/>
      <c r="O1687" s="1290"/>
      <c r="P1687" s="1290"/>
    </row>
    <row r="1688" spans="1:16" s="1335" customFormat="1">
      <c r="A1688" s="1334"/>
      <c r="B1688" s="1290"/>
      <c r="C1688" s="1290"/>
      <c r="G1688" s="1290"/>
      <c r="H1688" s="1290"/>
      <c r="I1688" s="1290"/>
      <c r="J1688" s="1290"/>
      <c r="K1688" s="1290"/>
      <c r="L1688" s="1290"/>
      <c r="M1688" s="1290"/>
      <c r="N1688" s="1290"/>
      <c r="O1688" s="1290"/>
      <c r="P1688" s="1290"/>
    </row>
    <row r="1689" spans="1:16" s="1335" customFormat="1">
      <c r="A1689" s="1334"/>
      <c r="B1689" s="1290"/>
      <c r="C1689" s="1290"/>
      <c r="G1689" s="1290"/>
      <c r="H1689" s="1290"/>
      <c r="I1689" s="1290"/>
      <c r="J1689" s="1290"/>
      <c r="K1689" s="1290"/>
      <c r="L1689" s="1290"/>
      <c r="M1689" s="1290"/>
      <c r="N1689" s="1290"/>
      <c r="O1689" s="1290"/>
      <c r="P1689" s="1290"/>
    </row>
    <row r="1690" spans="1:16" s="1335" customFormat="1">
      <c r="A1690" s="1334"/>
      <c r="B1690" s="1290"/>
      <c r="C1690" s="1290"/>
      <c r="G1690" s="1290"/>
      <c r="H1690" s="1290"/>
      <c r="I1690" s="1290"/>
      <c r="J1690" s="1290"/>
      <c r="K1690" s="1290"/>
      <c r="L1690" s="1290"/>
      <c r="M1690" s="1290"/>
      <c r="N1690" s="1290"/>
      <c r="O1690" s="1290"/>
      <c r="P1690" s="1290"/>
    </row>
    <row r="1691" spans="1:16" s="1335" customFormat="1">
      <c r="A1691" s="1334"/>
      <c r="B1691" s="1290"/>
      <c r="C1691" s="1290"/>
      <c r="G1691" s="1290"/>
      <c r="H1691" s="1290"/>
      <c r="I1691" s="1290"/>
      <c r="J1691" s="1290"/>
      <c r="K1691" s="1290"/>
      <c r="L1691" s="1290"/>
      <c r="M1691" s="1290"/>
      <c r="N1691" s="1290"/>
      <c r="O1691" s="1290"/>
      <c r="P1691" s="1290"/>
    </row>
    <row r="1692" spans="1:16" s="1335" customFormat="1">
      <c r="A1692" s="1334"/>
      <c r="B1692" s="1290"/>
      <c r="C1692" s="1290"/>
      <c r="G1692" s="1290"/>
      <c r="H1692" s="1290"/>
      <c r="I1692" s="1290"/>
      <c r="J1692" s="1290"/>
      <c r="K1692" s="1290"/>
      <c r="L1692" s="1290"/>
      <c r="M1692" s="1290"/>
      <c r="N1692" s="1290"/>
      <c r="O1692" s="1290"/>
      <c r="P1692" s="1290"/>
    </row>
    <row r="1693" spans="1:16" s="1335" customFormat="1">
      <c r="A1693" s="1334"/>
      <c r="B1693" s="1290"/>
      <c r="C1693" s="1290"/>
      <c r="G1693" s="1290"/>
      <c r="H1693" s="1290"/>
      <c r="I1693" s="1290"/>
      <c r="J1693" s="1290"/>
      <c r="K1693" s="1290"/>
      <c r="L1693" s="1290"/>
      <c r="M1693" s="1290"/>
      <c r="N1693" s="1290"/>
      <c r="O1693" s="1290"/>
      <c r="P1693" s="1290"/>
    </row>
    <row r="1694" spans="1:16" s="1335" customFormat="1">
      <c r="A1694" s="1334"/>
      <c r="B1694" s="1290"/>
      <c r="C1694" s="1290"/>
      <c r="G1694" s="1290"/>
      <c r="H1694" s="1290"/>
      <c r="I1694" s="1290"/>
      <c r="J1694" s="1290"/>
      <c r="K1694" s="1290"/>
      <c r="L1694" s="1290"/>
      <c r="M1694" s="1290"/>
      <c r="N1694" s="1290"/>
      <c r="O1694" s="1290"/>
      <c r="P1694" s="1290"/>
    </row>
    <row r="1695" spans="1:16" s="1335" customFormat="1">
      <c r="A1695" s="1334"/>
      <c r="B1695" s="1290"/>
      <c r="C1695" s="1290"/>
      <c r="G1695" s="1290"/>
      <c r="H1695" s="1290"/>
      <c r="I1695" s="1290"/>
      <c r="J1695" s="1290"/>
      <c r="K1695" s="1290"/>
      <c r="L1695" s="1290"/>
      <c r="M1695" s="1290"/>
      <c r="N1695" s="1290"/>
      <c r="O1695" s="1290"/>
      <c r="P1695" s="1290"/>
    </row>
    <row r="1696" spans="1:16" s="1335" customFormat="1">
      <c r="A1696" s="1334"/>
      <c r="B1696" s="1290"/>
      <c r="C1696" s="1290"/>
      <c r="G1696" s="1290"/>
      <c r="H1696" s="1290"/>
      <c r="I1696" s="1290"/>
      <c r="J1696" s="1290"/>
      <c r="K1696" s="1290"/>
      <c r="L1696" s="1290"/>
      <c r="M1696" s="1290"/>
      <c r="N1696" s="1290"/>
      <c r="O1696" s="1290"/>
      <c r="P1696" s="1290"/>
    </row>
    <row r="1697" spans="1:16" s="1335" customFormat="1">
      <c r="A1697" s="1334"/>
      <c r="B1697" s="1290"/>
      <c r="C1697" s="1290"/>
      <c r="G1697" s="1290"/>
      <c r="H1697" s="1290"/>
      <c r="I1697" s="1290"/>
      <c r="J1697" s="1290"/>
      <c r="K1697" s="1290"/>
      <c r="L1697" s="1290"/>
      <c r="M1697" s="1290"/>
      <c r="N1697" s="1290"/>
      <c r="O1697" s="1290"/>
      <c r="P1697" s="1290"/>
    </row>
    <row r="1698" spans="1:16" s="1335" customFormat="1">
      <c r="A1698" s="1334"/>
      <c r="B1698" s="1290"/>
      <c r="C1698" s="1290"/>
      <c r="G1698" s="1290"/>
      <c r="H1698" s="1290"/>
      <c r="I1698" s="1290"/>
      <c r="J1698" s="1290"/>
      <c r="K1698" s="1290"/>
      <c r="L1698" s="1290"/>
      <c r="M1698" s="1290"/>
      <c r="N1698" s="1290"/>
      <c r="O1698" s="1290"/>
      <c r="P1698" s="1290"/>
    </row>
    <row r="1699" spans="1:16" s="1335" customFormat="1">
      <c r="A1699" s="1334"/>
      <c r="B1699" s="1290"/>
      <c r="C1699" s="1290"/>
      <c r="G1699" s="1290"/>
      <c r="H1699" s="1290"/>
      <c r="I1699" s="1290"/>
      <c r="J1699" s="1290"/>
      <c r="K1699" s="1290"/>
      <c r="L1699" s="1290"/>
      <c r="M1699" s="1290"/>
      <c r="N1699" s="1290"/>
      <c r="O1699" s="1290"/>
      <c r="P1699" s="1290"/>
    </row>
    <row r="1700" spans="1:16" s="1335" customFormat="1">
      <c r="A1700" s="1334"/>
      <c r="B1700" s="1290"/>
      <c r="C1700" s="1290"/>
      <c r="G1700" s="1290"/>
      <c r="H1700" s="1290"/>
      <c r="I1700" s="1290"/>
      <c r="J1700" s="1290"/>
      <c r="K1700" s="1290"/>
      <c r="L1700" s="1290"/>
      <c r="M1700" s="1290"/>
      <c r="N1700" s="1290"/>
      <c r="O1700" s="1290"/>
      <c r="P1700" s="1290"/>
    </row>
    <row r="1701" spans="1:16" s="1335" customFormat="1">
      <c r="A1701" s="1334"/>
      <c r="B1701" s="1290"/>
      <c r="C1701" s="1290"/>
      <c r="G1701" s="1290"/>
      <c r="H1701" s="1290"/>
      <c r="I1701" s="1290"/>
      <c r="J1701" s="1290"/>
      <c r="K1701" s="1290"/>
      <c r="L1701" s="1290"/>
      <c r="M1701" s="1290"/>
      <c r="N1701" s="1290"/>
      <c r="O1701" s="1290"/>
      <c r="P1701" s="1290"/>
    </row>
    <row r="1702" spans="1:16" s="1335" customFormat="1">
      <c r="A1702" s="1334"/>
      <c r="B1702" s="1290"/>
      <c r="C1702" s="1290"/>
      <c r="G1702" s="1290"/>
      <c r="H1702" s="1290"/>
      <c r="I1702" s="1290"/>
      <c r="J1702" s="1290"/>
      <c r="K1702" s="1290"/>
      <c r="L1702" s="1290"/>
      <c r="M1702" s="1290"/>
      <c r="N1702" s="1290"/>
      <c r="O1702" s="1290"/>
      <c r="P1702" s="1290"/>
    </row>
    <row r="1703" spans="1:16" s="1335" customFormat="1">
      <c r="A1703" s="1334"/>
      <c r="B1703" s="1290"/>
      <c r="C1703" s="1290"/>
      <c r="G1703" s="1290"/>
      <c r="H1703" s="1290"/>
      <c r="I1703" s="1290"/>
      <c r="J1703" s="1290"/>
      <c r="K1703" s="1290"/>
      <c r="L1703" s="1290"/>
      <c r="M1703" s="1290"/>
      <c r="N1703" s="1290"/>
      <c r="O1703" s="1290"/>
      <c r="P1703" s="1290"/>
    </row>
    <row r="1704" spans="1:16" s="1335" customFormat="1">
      <c r="A1704" s="1334"/>
      <c r="B1704" s="1290"/>
      <c r="C1704" s="1290"/>
      <c r="G1704" s="1290"/>
      <c r="H1704" s="1290"/>
      <c r="I1704" s="1290"/>
      <c r="J1704" s="1290"/>
      <c r="K1704" s="1290"/>
      <c r="L1704" s="1290"/>
      <c r="M1704" s="1290"/>
      <c r="N1704" s="1290"/>
      <c r="O1704" s="1290"/>
      <c r="P1704" s="1290"/>
    </row>
    <row r="1705" spans="1:16" s="1335" customFormat="1">
      <c r="A1705" s="1334"/>
      <c r="B1705" s="1290"/>
      <c r="C1705" s="1290"/>
      <c r="G1705" s="1290"/>
      <c r="H1705" s="1290"/>
      <c r="I1705" s="1290"/>
      <c r="J1705" s="1290"/>
      <c r="K1705" s="1290"/>
      <c r="L1705" s="1290"/>
      <c r="M1705" s="1290"/>
      <c r="N1705" s="1290"/>
      <c r="O1705" s="1290"/>
      <c r="P1705" s="1290"/>
    </row>
    <row r="1706" spans="1:16" s="1335" customFormat="1">
      <c r="A1706" s="1334"/>
      <c r="B1706" s="1290"/>
      <c r="C1706" s="1290"/>
      <c r="G1706" s="1290"/>
      <c r="H1706" s="1290"/>
      <c r="I1706" s="1290"/>
      <c r="J1706" s="1290"/>
      <c r="K1706" s="1290"/>
      <c r="L1706" s="1290"/>
      <c r="M1706" s="1290"/>
      <c r="N1706" s="1290"/>
      <c r="O1706" s="1290"/>
      <c r="P1706" s="1290"/>
    </row>
    <row r="1707" spans="1:16" s="1335" customFormat="1">
      <c r="A1707" s="1334"/>
      <c r="B1707" s="1290"/>
      <c r="C1707" s="1290"/>
      <c r="G1707" s="1290"/>
      <c r="H1707" s="1290"/>
      <c r="I1707" s="1290"/>
      <c r="J1707" s="1290"/>
      <c r="K1707" s="1290"/>
      <c r="L1707" s="1290"/>
      <c r="M1707" s="1290"/>
      <c r="N1707" s="1290"/>
      <c r="O1707" s="1290"/>
      <c r="P1707" s="1290"/>
    </row>
    <row r="1708" spans="1:16" s="1335" customFormat="1">
      <c r="A1708" s="1334"/>
      <c r="B1708" s="1290"/>
      <c r="C1708" s="1290"/>
      <c r="G1708" s="1290"/>
      <c r="H1708" s="1290"/>
      <c r="I1708" s="1290"/>
      <c r="J1708" s="1290"/>
      <c r="K1708" s="1290"/>
      <c r="L1708" s="1290"/>
      <c r="M1708" s="1290"/>
      <c r="N1708" s="1290"/>
      <c r="O1708" s="1290"/>
      <c r="P1708" s="1290"/>
    </row>
    <row r="1709" spans="1:16" s="1335" customFormat="1">
      <c r="A1709" s="1334"/>
      <c r="B1709" s="1290"/>
      <c r="C1709" s="1290"/>
      <c r="G1709" s="1290"/>
      <c r="H1709" s="1290"/>
      <c r="I1709" s="1290"/>
      <c r="J1709" s="1290"/>
      <c r="K1709" s="1290"/>
      <c r="L1709" s="1290"/>
      <c r="M1709" s="1290"/>
      <c r="N1709" s="1290"/>
      <c r="O1709" s="1290"/>
      <c r="P1709" s="1290"/>
    </row>
    <row r="1710" spans="1:16" s="1335" customFormat="1">
      <c r="A1710" s="1334"/>
      <c r="B1710" s="1290"/>
      <c r="C1710" s="1290"/>
      <c r="G1710" s="1290"/>
      <c r="H1710" s="1290"/>
      <c r="I1710" s="1290"/>
      <c r="J1710" s="1290"/>
      <c r="K1710" s="1290"/>
      <c r="L1710" s="1290"/>
      <c r="M1710" s="1290"/>
      <c r="N1710" s="1290"/>
      <c r="O1710" s="1290"/>
      <c r="P1710" s="1290"/>
    </row>
    <row r="1711" spans="1:16" s="1335" customFormat="1">
      <c r="A1711" s="1334"/>
      <c r="B1711" s="1290"/>
      <c r="C1711" s="1290"/>
      <c r="G1711" s="1290"/>
      <c r="H1711" s="1290"/>
      <c r="I1711" s="1290"/>
      <c r="J1711" s="1290"/>
      <c r="K1711" s="1290"/>
      <c r="L1711" s="1290"/>
      <c r="M1711" s="1290"/>
      <c r="N1711" s="1290"/>
      <c r="O1711" s="1290"/>
      <c r="P1711" s="1290"/>
    </row>
    <row r="1712" spans="1:16" s="1335" customFormat="1">
      <c r="A1712" s="1334"/>
      <c r="B1712" s="1290"/>
      <c r="C1712" s="1290"/>
      <c r="G1712" s="1290"/>
      <c r="H1712" s="1290"/>
      <c r="I1712" s="1290"/>
      <c r="J1712" s="1290"/>
      <c r="K1712" s="1290"/>
      <c r="L1712" s="1290"/>
      <c r="M1712" s="1290"/>
      <c r="N1712" s="1290"/>
      <c r="O1712" s="1290"/>
      <c r="P1712" s="1290"/>
    </row>
    <row r="1713" spans="1:16" s="1335" customFormat="1">
      <c r="A1713" s="1334"/>
      <c r="B1713" s="1290"/>
      <c r="C1713" s="1290"/>
      <c r="G1713" s="1290"/>
      <c r="H1713" s="1290"/>
      <c r="I1713" s="1290"/>
      <c r="J1713" s="1290"/>
      <c r="K1713" s="1290"/>
      <c r="L1713" s="1290"/>
      <c r="M1713" s="1290"/>
      <c r="N1713" s="1290"/>
      <c r="O1713" s="1290"/>
      <c r="P1713" s="1290"/>
    </row>
    <row r="1714" spans="1:16" s="1335" customFormat="1">
      <c r="A1714" s="1334"/>
      <c r="B1714" s="1290"/>
      <c r="C1714" s="1290"/>
      <c r="G1714" s="1290"/>
      <c r="H1714" s="1290"/>
      <c r="I1714" s="1290"/>
      <c r="J1714" s="1290"/>
      <c r="K1714" s="1290"/>
      <c r="L1714" s="1290"/>
      <c r="M1714" s="1290"/>
      <c r="N1714" s="1290"/>
      <c r="O1714" s="1290"/>
      <c r="P1714" s="1290"/>
    </row>
    <row r="1715" spans="1:16" s="1335" customFormat="1">
      <c r="A1715" s="1334"/>
      <c r="B1715" s="1290"/>
      <c r="C1715" s="1290"/>
      <c r="G1715" s="1290"/>
      <c r="H1715" s="1290"/>
      <c r="I1715" s="1290"/>
      <c r="J1715" s="1290"/>
      <c r="K1715" s="1290"/>
      <c r="L1715" s="1290"/>
      <c r="M1715" s="1290"/>
      <c r="N1715" s="1290"/>
      <c r="O1715" s="1290"/>
      <c r="P1715" s="1290"/>
    </row>
    <row r="1716" spans="1:16" s="1335" customFormat="1">
      <c r="A1716" s="1334"/>
      <c r="B1716" s="1290"/>
      <c r="C1716" s="1290"/>
      <c r="G1716" s="1290"/>
      <c r="H1716" s="1290"/>
      <c r="I1716" s="1290"/>
      <c r="J1716" s="1290"/>
      <c r="K1716" s="1290"/>
      <c r="L1716" s="1290"/>
      <c r="M1716" s="1290"/>
      <c r="N1716" s="1290"/>
      <c r="O1716" s="1290"/>
      <c r="P1716" s="1290"/>
    </row>
    <row r="1717" spans="1:16" s="1335" customFormat="1">
      <c r="A1717" s="1334"/>
      <c r="B1717" s="1290"/>
      <c r="C1717" s="1290"/>
      <c r="G1717" s="1290"/>
      <c r="H1717" s="1290"/>
      <c r="I1717" s="1290"/>
      <c r="J1717" s="1290"/>
      <c r="K1717" s="1290"/>
      <c r="L1717" s="1290"/>
      <c r="M1717" s="1290"/>
      <c r="N1717" s="1290"/>
      <c r="O1717" s="1290"/>
      <c r="P1717" s="1290"/>
    </row>
    <row r="1718" spans="1:16" s="1335" customFormat="1">
      <c r="A1718" s="1334"/>
      <c r="B1718" s="1290"/>
      <c r="C1718" s="1290"/>
      <c r="G1718" s="1290"/>
      <c r="H1718" s="1290"/>
      <c r="I1718" s="1290"/>
      <c r="J1718" s="1290"/>
      <c r="K1718" s="1290"/>
      <c r="L1718" s="1290"/>
      <c r="M1718" s="1290"/>
      <c r="N1718" s="1290"/>
      <c r="O1718" s="1290"/>
      <c r="P1718" s="1290"/>
    </row>
    <row r="1719" spans="1:16" s="1335" customFormat="1">
      <c r="A1719" s="1334"/>
      <c r="B1719" s="1290"/>
      <c r="C1719" s="1290"/>
      <c r="G1719" s="1290"/>
      <c r="H1719" s="1290"/>
      <c r="I1719" s="1290"/>
      <c r="J1719" s="1290"/>
      <c r="K1719" s="1290"/>
      <c r="L1719" s="1290"/>
      <c r="M1719" s="1290"/>
      <c r="N1719" s="1290"/>
      <c r="O1719" s="1290"/>
      <c r="P1719" s="1290"/>
    </row>
    <row r="1720" spans="1:16" s="1335" customFormat="1">
      <c r="A1720" s="1334"/>
      <c r="B1720" s="1290"/>
      <c r="C1720" s="1290"/>
      <c r="G1720" s="1290"/>
      <c r="H1720" s="1290"/>
      <c r="I1720" s="1290"/>
      <c r="J1720" s="1290"/>
      <c r="K1720" s="1290"/>
      <c r="L1720" s="1290"/>
      <c r="M1720" s="1290"/>
      <c r="N1720" s="1290"/>
      <c r="O1720" s="1290"/>
      <c r="P1720" s="1290"/>
    </row>
    <row r="1721" spans="1:16" s="1335" customFormat="1">
      <c r="A1721" s="1334"/>
      <c r="B1721" s="1290"/>
      <c r="C1721" s="1290"/>
      <c r="G1721" s="1290"/>
      <c r="H1721" s="1290"/>
      <c r="I1721" s="1290"/>
      <c r="J1721" s="1290"/>
      <c r="K1721" s="1290"/>
      <c r="L1721" s="1290"/>
      <c r="M1721" s="1290"/>
      <c r="N1721" s="1290"/>
      <c r="O1721" s="1290"/>
      <c r="P1721" s="1290"/>
    </row>
    <row r="1722" spans="1:16" s="1335" customFormat="1">
      <c r="A1722" s="1334"/>
      <c r="B1722" s="1290"/>
      <c r="C1722" s="1290"/>
      <c r="G1722" s="1290"/>
      <c r="H1722" s="1290"/>
      <c r="I1722" s="1290"/>
      <c r="J1722" s="1290"/>
      <c r="K1722" s="1290"/>
      <c r="L1722" s="1290"/>
      <c r="M1722" s="1290"/>
      <c r="N1722" s="1290"/>
      <c r="O1722" s="1290"/>
      <c r="P1722" s="1290"/>
    </row>
    <row r="1723" spans="1:16" s="1335" customFormat="1">
      <c r="A1723" s="1334"/>
      <c r="B1723" s="1290"/>
      <c r="C1723" s="1290"/>
      <c r="G1723" s="1290"/>
      <c r="H1723" s="1290"/>
      <c r="I1723" s="1290"/>
      <c r="J1723" s="1290"/>
      <c r="K1723" s="1290"/>
      <c r="L1723" s="1290"/>
      <c r="M1723" s="1290"/>
      <c r="N1723" s="1290"/>
      <c r="O1723" s="1290"/>
      <c r="P1723" s="1290"/>
    </row>
    <row r="1724" spans="1:16" s="1335" customFormat="1">
      <c r="A1724" s="1334"/>
      <c r="B1724" s="1290"/>
      <c r="C1724" s="1290"/>
      <c r="G1724" s="1290"/>
      <c r="H1724" s="1290"/>
      <c r="I1724" s="1290"/>
      <c r="J1724" s="1290"/>
      <c r="K1724" s="1290"/>
      <c r="L1724" s="1290"/>
      <c r="M1724" s="1290"/>
      <c r="N1724" s="1290"/>
      <c r="O1724" s="1290"/>
      <c r="P1724" s="1290"/>
    </row>
    <row r="1725" spans="1:16" s="1335" customFormat="1">
      <c r="A1725" s="1334"/>
      <c r="B1725" s="1290"/>
      <c r="C1725" s="1290"/>
      <c r="G1725" s="1290"/>
      <c r="H1725" s="1290"/>
      <c r="I1725" s="1290"/>
      <c r="J1725" s="1290"/>
      <c r="K1725" s="1290"/>
      <c r="L1725" s="1290"/>
      <c r="M1725" s="1290"/>
      <c r="N1725" s="1290"/>
      <c r="O1725" s="1290"/>
      <c r="P1725" s="1290"/>
    </row>
    <row r="1726" spans="1:16" s="1335" customFormat="1">
      <c r="A1726" s="1334"/>
      <c r="B1726" s="1290"/>
      <c r="C1726" s="1290"/>
      <c r="G1726" s="1290"/>
      <c r="H1726" s="1290"/>
      <c r="I1726" s="1290"/>
      <c r="J1726" s="1290"/>
      <c r="K1726" s="1290"/>
      <c r="L1726" s="1290"/>
      <c r="M1726" s="1290"/>
      <c r="N1726" s="1290"/>
      <c r="O1726" s="1290"/>
      <c r="P1726" s="1290"/>
    </row>
    <row r="1727" spans="1:16" s="1335" customFormat="1">
      <c r="A1727" s="1334"/>
      <c r="B1727" s="1290"/>
      <c r="C1727" s="1290"/>
      <c r="G1727" s="1290"/>
      <c r="H1727" s="1290"/>
      <c r="I1727" s="1290"/>
      <c r="J1727" s="1290"/>
      <c r="K1727" s="1290"/>
      <c r="L1727" s="1290"/>
      <c r="M1727" s="1290"/>
      <c r="N1727" s="1290"/>
      <c r="O1727" s="1290"/>
      <c r="P1727" s="1290"/>
    </row>
    <row r="1728" spans="1:16" s="1335" customFormat="1">
      <c r="A1728" s="1334"/>
      <c r="B1728" s="1290"/>
      <c r="C1728" s="1290"/>
      <c r="G1728" s="1290"/>
      <c r="H1728" s="1290"/>
      <c r="I1728" s="1290"/>
      <c r="J1728" s="1290"/>
      <c r="K1728" s="1290"/>
      <c r="L1728" s="1290"/>
      <c r="M1728" s="1290"/>
      <c r="N1728" s="1290"/>
      <c r="O1728" s="1290"/>
      <c r="P1728" s="1290"/>
    </row>
    <row r="1729" spans="1:16" s="1335" customFormat="1">
      <c r="A1729" s="1334"/>
      <c r="B1729" s="1290"/>
      <c r="C1729" s="1290"/>
      <c r="G1729" s="1290"/>
      <c r="H1729" s="1290"/>
      <c r="I1729" s="1290"/>
      <c r="J1729" s="1290"/>
      <c r="K1729" s="1290"/>
      <c r="L1729" s="1290"/>
      <c r="M1729" s="1290"/>
      <c r="N1729" s="1290"/>
      <c r="O1729" s="1290"/>
      <c r="P1729" s="1290"/>
    </row>
    <row r="1730" spans="1:16" s="1335" customFormat="1">
      <c r="A1730" s="1334"/>
      <c r="B1730" s="1290"/>
      <c r="C1730" s="1290"/>
      <c r="G1730" s="1290"/>
      <c r="H1730" s="1290"/>
      <c r="I1730" s="1290"/>
      <c r="J1730" s="1290"/>
      <c r="K1730" s="1290"/>
      <c r="L1730" s="1290"/>
      <c r="M1730" s="1290"/>
      <c r="N1730" s="1290"/>
      <c r="O1730" s="1290"/>
      <c r="P1730" s="1290"/>
    </row>
    <row r="1731" spans="1:16" s="1335" customFormat="1">
      <c r="A1731" s="1334"/>
      <c r="B1731" s="1290"/>
      <c r="C1731" s="1290"/>
      <c r="G1731" s="1290"/>
      <c r="H1731" s="1290"/>
      <c r="I1731" s="1290"/>
      <c r="J1731" s="1290"/>
      <c r="K1731" s="1290"/>
      <c r="L1731" s="1290"/>
      <c r="M1731" s="1290"/>
      <c r="N1731" s="1290"/>
      <c r="O1731" s="1290"/>
      <c r="P1731" s="1290"/>
    </row>
    <row r="1732" spans="1:16" s="1335" customFormat="1">
      <c r="A1732" s="1334"/>
      <c r="B1732" s="1290"/>
      <c r="C1732" s="1290"/>
      <c r="G1732" s="1290"/>
      <c r="H1732" s="1290"/>
      <c r="I1732" s="1290"/>
      <c r="J1732" s="1290"/>
      <c r="K1732" s="1290"/>
      <c r="L1732" s="1290"/>
      <c r="M1732" s="1290"/>
      <c r="N1732" s="1290"/>
      <c r="O1732" s="1290"/>
      <c r="P1732" s="1290"/>
    </row>
    <row r="1733" spans="1:16" s="1335" customFormat="1">
      <c r="A1733" s="1334"/>
      <c r="B1733" s="1290"/>
      <c r="C1733" s="1290"/>
      <c r="G1733" s="1290"/>
      <c r="H1733" s="1290"/>
      <c r="I1733" s="1290"/>
      <c r="J1733" s="1290"/>
      <c r="K1733" s="1290"/>
      <c r="L1733" s="1290"/>
      <c r="M1733" s="1290"/>
      <c r="N1733" s="1290"/>
      <c r="O1733" s="1290"/>
      <c r="P1733" s="1290"/>
    </row>
    <row r="1734" spans="1:16" s="1335" customFormat="1">
      <c r="A1734" s="1334"/>
      <c r="B1734" s="1290"/>
      <c r="C1734" s="1290"/>
      <c r="G1734" s="1290"/>
      <c r="H1734" s="1290"/>
      <c r="I1734" s="1290"/>
      <c r="J1734" s="1290"/>
      <c r="K1734" s="1290"/>
      <c r="L1734" s="1290"/>
      <c r="M1734" s="1290"/>
      <c r="N1734" s="1290"/>
      <c r="O1734" s="1290"/>
      <c r="P1734" s="1290"/>
    </row>
    <row r="1735" spans="1:16" s="1335" customFormat="1">
      <c r="A1735" s="1334"/>
      <c r="B1735" s="1290"/>
      <c r="C1735" s="1290"/>
      <c r="G1735" s="1290"/>
      <c r="H1735" s="1290"/>
      <c r="I1735" s="1290"/>
      <c r="J1735" s="1290"/>
      <c r="K1735" s="1290"/>
      <c r="L1735" s="1290"/>
      <c r="M1735" s="1290"/>
      <c r="N1735" s="1290"/>
      <c r="O1735" s="1290"/>
      <c r="P1735" s="1290"/>
    </row>
    <row r="1736" spans="1:16" s="1335" customFormat="1">
      <c r="A1736" s="1334"/>
      <c r="B1736" s="1290"/>
      <c r="C1736" s="1290"/>
      <c r="G1736" s="1290"/>
      <c r="H1736" s="1290"/>
      <c r="I1736" s="1290"/>
      <c r="J1736" s="1290"/>
      <c r="K1736" s="1290"/>
      <c r="L1736" s="1290"/>
      <c r="M1736" s="1290"/>
      <c r="N1736" s="1290"/>
      <c r="O1736" s="1290"/>
      <c r="P1736" s="1290"/>
    </row>
    <row r="1737" spans="1:16" s="1335" customFormat="1">
      <c r="A1737" s="1334"/>
      <c r="B1737" s="1290"/>
      <c r="C1737" s="1290"/>
      <c r="G1737" s="1290"/>
      <c r="H1737" s="1290"/>
      <c r="I1737" s="1290"/>
      <c r="J1737" s="1290"/>
      <c r="K1737" s="1290"/>
      <c r="L1737" s="1290"/>
      <c r="M1737" s="1290"/>
      <c r="N1737" s="1290"/>
      <c r="O1737" s="1290"/>
      <c r="P1737" s="1290"/>
    </row>
    <row r="1738" spans="1:16" s="1335" customFormat="1">
      <c r="A1738" s="1334"/>
      <c r="B1738" s="1290"/>
      <c r="C1738" s="1290"/>
      <c r="G1738" s="1290"/>
      <c r="H1738" s="1290"/>
      <c r="I1738" s="1290"/>
      <c r="J1738" s="1290"/>
      <c r="K1738" s="1290"/>
      <c r="L1738" s="1290"/>
      <c r="M1738" s="1290"/>
      <c r="N1738" s="1290"/>
      <c r="O1738" s="1290"/>
      <c r="P1738" s="1290"/>
    </row>
    <row r="1739" spans="1:16" s="1335" customFormat="1">
      <c r="A1739" s="1334"/>
      <c r="B1739" s="1290"/>
      <c r="C1739" s="1290"/>
      <c r="G1739" s="1290"/>
      <c r="H1739" s="1290"/>
      <c r="I1739" s="1290"/>
      <c r="J1739" s="1290"/>
      <c r="K1739" s="1290"/>
      <c r="L1739" s="1290"/>
      <c r="M1739" s="1290"/>
      <c r="N1739" s="1290"/>
      <c r="O1739" s="1290"/>
      <c r="P1739" s="1290"/>
    </row>
    <row r="1740" spans="1:16" s="1335" customFormat="1">
      <c r="A1740" s="1334"/>
      <c r="B1740" s="1290"/>
      <c r="C1740" s="1290"/>
      <c r="G1740" s="1290"/>
      <c r="H1740" s="1290"/>
      <c r="I1740" s="1290"/>
      <c r="J1740" s="1290"/>
      <c r="K1740" s="1290"/>
      <c r="L1740" s="1290"/>
      <c r="M1740" s="1290"/>
      <c r="N1740" s="1290"/>
      <c r="O1740" s="1290"/>
      <c r="P1740" s="1290"/>
    </row>
    <row r="1741" spans="1:16" s="1335" customFormat="1">
      <c r="A1741" s="1334"/>
      <c r="B1741" s="1290"/>
      <c r="C1741" s="1290"/>
      <c r="G1741" s="1290"/>
      <c r="H1741" s="1290"/>
      <c r="I1741" s="1290"/>
      <c r="J1741" s="1290"/>
      <c r="K1741" s="1290"/>
      <c r="L1741" s="1290"/>
      <c r="M1741" s="1290"/>
      <c r="N1741" s="1290"/>
      <c r="O1741" s="1290"/>
      <c r="P1741" s="1290"/>
    </row>
    <row r="1742" spans="1:16" s="1335" customFormat="1">
      <c r="A1742" s="1334"/>
      <c r="B1742" s="1290"/>
      <c r="C1742" s="1290"/>
      <c r="G1742" s="1290"/>
      <c r="H1742" s="1290"/>
      <c r="I1742" s="1290"/>
      <c r="J1742" s="1290"/>
      <c r="K1742" s="1290"/>
      <c r="L1742" s="1290"/>
      <c r="M1742" s="1290"/>
      <c r="N1742" s="1290"/>
      <c r="O1742" s="1290"/>
      <c r="P1742" s="1290"/>
    </row>
    <row r="1743" spans="1:16" s="1335" customFormat="1">
      <c r="A1743" s="1334"/>
      <c r="B1743" s="1290"/>
      <c r="C1743" s="1290"/>
      <c r="G1743" s="1290"/>
      <c r="H1743" s="1290"/>
      <c r="I1743" s="1290"/>
      <c r="J1743" s="1290"/>
      <c r="K1743" s="1290"/>
      <c r="L1743" s="1290"/>
      <c r="M1743" s="1290"/>
      <c r="N1743" s="1290"/>
      <c r="O1743" s="1290"/>
      <c r="P1743" s="1290"/>
    </row>
    <row r="1744" spans="1:16" s="1335" customFormat="1">
      <c r="A1744" s="1334"/>
      <c r="B1744" s="1290"/>
      <c r="C1744" s="1290"/>
      <c r="G1744" s="1290"/>
      <c r="H1744" s="1290"/>
      <c r="I1744" s="1290"/>
      <c r="J1744" s="1290"/>
      <c r="K1744" s="1290"/>
      <c r="L1744" s="1290"/>
      <c r="M1744" s="1290"/>
      <c r="N1744" s="1290"/>
      <c r="O1744" s="1290"/>
      <c r="P1744" s="1290"/>
    </row>
    <row r="1745" spans="1:16" s="1335" customFormat="1">
      <c r="A1745" s="1334"/>
      <c r="B1745" s="1290"/>
      <c r="C1745" s="1290"/>
      <c r="G1745" s="1290"/>
      <c r="H1745" s="1290"/>
      <c r="I1745" s="1290"/>
      <c r="J1745" s="1290"/>
      <c r="K1745" s="1290"/>
      <c r="L1745" s="1290"/>
      <c r="M1745" s="1290"/>
      <c r="N1745" s="1290"/>
      <c r="O1745" s="1290"/>
      <c r="P1745" s="1290"/>
    </row>
    <row r="1746" spans="1:16" s="1335" customFormat="1">
      <c r="A1746" s="1334"/>
      <c r="B1746" s="1290"/>
      <c r="C1746" s="1290"/>
      <c r="G1746" s="1290"/>
      <c r="H1746" s="1290"/>
      <c r="I1746" s="1290"/>
      <c r="J1746" s="1290"/>
      <c r="K1746" s="1290"/>
      <c r="L1746" s="1290"/>
      <c r="M1746" s="1290"/>
      <c r="N1746" s="1290"/>
      <c r="O1746" s="1290"/>
      <c r="P1746" s="1290"/>
    </row>
    <row r="1747" spans="1:16" s="1335" customFormat="1">
      <c r="A1747" s="1334"/>
      <c r="B1747" s="1290"/>
      <c r="C1747" s="1290"/>
      <c r="G1747" s="1290"/>
      <c r="H1747" s="1290"/>
      <c r="I1747" s="1290"/>
      <c r="J1747" s="1290"/>
      <c r="K1747" s="1290"/>
      <c r="L1747" s="1290"/>
      <c r="M1747" s="1290"/>
      <c r="N1747" s="1290"/>
      <c r="O1747" s="1290"/>
      <c r="P1747" s="1290"/>
    </row>
    <row r="1748" spans="1:16" s="1335" customFormat="1">
      <c r="A1748" s="1334"/>
      <c r="B1748" s="1290"/>
      <c r="C1748" s="1290"/>
      <c r="G1748" s="1290"/>
      <c r="H1748" s="1290"/>
      <c r="I1748" s="1290"/>
      <c r="J1748" s="1290"/>
      <c r="K1748" s="1290"/>
      <c r="L1748" s="1290"/>
      <c r="M1748" s="1290"/>
      <c r="N1748" s="1290"/>
      <c r="O1748" s="1290"/>
      <c r="P1748" s="1290"/>
    </row>
    <row r="1749" spans="1:16" s="1335" customFormat="1">
      <c r="A1749" s="1334"/>
      <c r="B1749" s="1290"/>
      <c r="C1749" s="1290"/>
      <c r="G1749" s="1290"/>
      <c r="H1749" s="1290"/>
      <c r="I1749" s="1290"/>
      <c r="J1749" s="1290"/>
      <c r="K1749" s="1290"/>
      <c r="L1749" s="1290"/>
      <c r="M1749" s="1290"/>
      <c r="N1749" s="1290"/>
      <c r="O1749" s="1290"/>
      <c r="P1749" s="1290"/>
    </row>
    <row r="1750" spans="1:16" s="1335" customFormat="1">
      <c r="A1750" s="1334"/>
      <c r="B1750" s="1290"/>
      <c r="C1750" s="1290"/>
      <c r="G1750" s="1290"/>
      <c r="H1750" s="1290"/>
      <c r="I1750" s="1290"/>
      <c r="J1750" s="1290"/>
      <c r="K1750" s="1290"/>
      <c r="L1750" s="1290"/>
      <c r="M1750" s="1290"/>
      <c r="N1750" s="1290"/>
      <c r="O1750" s="1290"/>
      <c r="P1750" s="1290"/>
    </row>
    <row r="1751" spans="1:16" s="1335" customFormat="1">
      <c r="A1751" s="1334"/>
      <c r="B1751" s="1290"/>
      <c r="C1751" s="1290"/>
      <c r="G1751" s="1290"/>
      <c r="H1751" s="1290"/>
      <c r="I1751" s="1290"/>
      <c r="J1751" s="1290"/>
      <c r="K1751" s="1290"/>
      <c r="L1751" s="1290"/>
      <c r="M1751" s="1290"/>
      <c r="N1751" s="1290"/>
      <c r="O1751" s="1290"/>
      <c r="P1751" s="1290"/>
    </row>
    <row r="1752" spans="1:16" s="1335" customFormat="1">
      <c r="A1752" s="1334"/>
      <c r="B1752" s="1290"/>
      <c r="C1752" s="1290"/>
      <c r="G1752" s="1290"/>
      <c r="H1752" s="1290"/>
      <c r="I1752" s="1290"/>
      <c r="J1752" s="1290"/>
      <c r="K1752" s="1290"/>
      <c r="L1752" s="1290"/>
      <c r="M1752" s="1290"/>
      <c r="N1752" s="1290"/>
      <c r="O1752" s="1290"/>
      <c r="P1752" s="1290"/>
    </row>
    <row r="1753" spans="1:16" s="1335" customFormat="1">
      <c r="A1753" s="1334"/>
      <c r="B1753" s="1290"/>
      <c r="C1753" s="1290"/>
      <c r="G1753" s="1290"/>
      <c r="H1753" s="1290"/>
      <c r="I1753" s="1290"/>
      <c r="J1753" s="1290"/>
      <c r="K1753" s="1290"/>
      <c r="L1753" s="1290"/>
      <c r="M1753" s="1290"/>
      <c r="N1753" s="1290"/>
      <c r="O1753" s="1290"/>
      <c r="P1753" s="1290"/>
    </row>
    <row r="1754" spans="1:16" s="1335" customFormat="1">
      <c r="A1754" s="1334"/>
      <c r="B1754" s="1290"/>
      <c r="C1754" s="1290"/>
      <c r="G1754" s="1290"/>
      <c r="H1754" s="1290"/>
      <c r="I1754" s="1290"/>
      <c r="J1754" s="1290"/>
      <c r="K1754" s="1290"/>
      <c r="L1754" s="1290"/>
      <c r="M1754" s="1290"/>
      <c r="N1754" s="1290"/>
      <c r="O1754" s="1290"/>
      <c r="P1754" s="1290"/>
    </row>
    <row r="1755" spans="1:16" s="1335" customFormat="1">
      <c r="A1755" s="1334"/>
      <c r="B1755" s="1290"/>
      <c r="C1755" s="1290"/>
      <c r="G1755" s="1290"/>
      <c r="H1755" s="1290"/>
      <c r="I1755" s="1290"/>
      <c r="J1755" s="1290"/>
      <c r="K1755" s="1290"/>
      <c r="L1755" s="1290"/>
      <c r="M1755" s="1290"/>
      <c r="N1755" s="1290"/>
      <c r="O1755" s="1290"/>
      <c r="P1755" s="1290"/>
    </row>
    <row r="1756" spans="1:16" s="1335" customFormat="1">
      <c r="A1756" s="1334"/>
      <c r="B1756" s="1290"/>
      <c r="C1756" s="1290"/>
      <c r="G1756" s="1290"/>
      <c r="H1756" s="1290"/>
      <c r="I1756" s="1290"/>
      <c r="J1756" s="1290"/>
      <c r="K1756" s="1290"/>
      <c r="L1756" s="1290"/>
      <c r="M1756" s="1290"/>
      <c r="N1756" s="1290"/>
      <c r="O1756" s="1290"/>
      <c r="P1756" s="1290"/>
    </row>
    <row r="1757" spans="1:16" s="1335" customFormat="1">
      <c r="A1757" s="1334"/>
      <c r="B1757" s="1290"/>
      <c r="C1757" s="1290"/>
      <c r="G1757" s="1290"/>
      <c r="H1757" s="1290"/>
      <c r="I1757" s="1290"/>
      <c r="J1757" s="1290"/>
      <c r="K1757" s="1290"/>
      <c r="L1757" s="1290"/>
      <c r="M1757" s="1290"/>
      <c r="N1757" s="1290"/>
      <c r="O1757" s="1290"/>
      <c r="P1757" s="1290"/>
    </row>
    <row r="1758" spans="1:16" s="1335" customFormat="1">
      <c r="A1758" s="1334"/>
      <c r="B1758" s="1290"/>
      <c r="C1758" s="1290"/>
      <c r="G1758" s="1290"/>
      <c r="H1758" s="1290"/>
      <c r="I1758" s="1290"/>
      <c r="J1758" s="1290"/>
      <c r="K1758" s="1290"/>
      <c r="L1758" s="1290"/>
      <c r="M1758" s="1290"/>
      <c r="N1758" s="1290"/>
      <c r="O1758" s="1290"/>
      <c r="P1758" s="1290"/>
    </row>
    <row r="1759" spans="1:16" s="1335" customFormat="1">
      <c r="A1759" s="1334"/>
      <c r="B1759" s="1290"/>
      <c r="C1759" s="1290"/>
      <c r="G1759" s="1290"/>
      <c r="H1759" s="1290"/>
      <c r="I1759" s="1290"/>
      <c r="J1759" s="1290"/>
      <c r="K1759" s="1290"/>
      <c r="L1759" s="1290"/>
      <c r="M1759" s="1290"/>
      <c r="N1759" s="1290"/>
      <c r="O1759" s="1290"/>
      <c r="P1759" s="1290"/>
    </row>
    <row r="1760" spans="1:16" s="1335" customFormat="1">
      <c r="A1760" s="1334"/>
      <c r="B1760" s="1290"/>
      <c r="C1760" s="1290"/>
      <c r="G1760" s="1290"/>
      <c r="H1760" s="1290"/>
      <c r="I1760" s="1290"/>
      <c r="J1760" s="1290"/>
      <c r="K1760" s="1290"/>
      <c r="L1760" s="1290"/>
      <c r="M1760" s="1290"/>
      <c r="N1760" s="1290"/>
      <c r="O1760" s="1290"/>
      <c r="P1760" s="1290"/>
    </row>
    <row r="1761" spans="1:16" s="1335" customFormat="1">
      <c r="A1761" s="1334"/>
      <c r="B1761" s="1290"/>
      <c r="C1761" s="1290"/>
      <c r="G1761" s="1290"/>
      <c r="H1761" s="1290"/>
      <c r="I1761" s="1290"/>
      <c r="J1761" s="1290"/>
      <c r="K1761" s="1290"/>
      <c r="L1761" s="1290"/>
      <c r="M1761" s="1290"/>
      <c r="N1761" s="1290"/>
      <c r="O1761" s="1290"/>
      <c r="P1761" s="1290"/>
    </row>
    <row r="1762" spans="1:16" s="1335" customFormat="1">
      <c r="A1762" s="1334"/>
      <c r="B1762" s="1290"/>
      <c r="C1762" s="1290"/>
      <c r="G1762" s="1290"/>
      <c r="H1762" s="1290"/>
      <c r="I1762" s="1290"/>
      <c r="J1762" s="1290"/>
      <c r="K1762" s="1290"/>
      <c r="L1762" s="1290"/>
      <c r="M1762" s="1290"/>
      <c r="N1762" s="1290"/>
      <c r="O1762" s="1290"/>
      <c r="P1762" s="1290"/>
    </row>
    <row r="1763" spans="1:16" s="1335" customFormat="1">
      <c r="A1763" s="1334"/>
      <c r="B1763" s="1290"/>
      <c r="C1763" s="1290"/>
      <c r="G1763" s="1290"/>
      <c r="H1763" s="1290"/>
      <c r="I1763" s="1290"/>
      <c r="J1763" s="1290"/>
      <c r="K1763" s="1290"/>
      <c r="L1763" s="1290"/>
      <c r="M1763" s="1290"/>
      <c r="N1763" s="1290"/>
      <c r="O1763" s="1290"/>
      <c r="P1763" s="1290"/>
    </row>
    <row r="1764" spans="1:16" s="1335" customFormat="1">
      <c r="A1764" s="1334"/>
      <c r="B1764" s="1290"/>
      <c r="C1764" s="1290"/>
      <c r="G1764" s="1290"/>
      <c r="H1764" s="1290"/>
      <c r="I1764" s="1290"/>
      <c r="J1764" s="1290"/>
      <c r="K1764" s="1290"/>
      <c r="L1764" s="1290"/>
      <c r="M1764" s="1290"/>
      <c r="N1764" s="1290"/>
      <c r="O1764" s="1290"/>
      <c r="P1764" s="1290"/>
    </row>
    <row r="1765" spans="1:16" s="1335" customFormat="1">
      <c r="A1765" s="1334"/>
      <c r="B1765" s="1290"/>
      <c r="C1765" s="1290"/>
      <c r="G1765" s="1290"/>
      <c r="H1765" s="1290"/>
      <c r="I1765" s="1290"/>
      <c r="J1765" s="1290"/>
      <c r="K1765" s="1290"/>
      <c r="L1765" s="1290"/>
      <c r="M1765" s="1290"/>
      <c r="N1765" s="1290"/>
      <c r="O1765" s="1290"/>
      <c r="P1765" s="1290"/>
    </row>
    <row r="1766" spans="1:16" s="1335" customFormat="1">
      <c r="A1766" s="1334"/>
      <c r="B1766" s="1290"/>
      <c r="C1766" s="1290"/>
      <c r="G1766" s="1290"/>
      <c r="H1766" s="1290"/>
      <c r="I1766" s="1290"/>
      <c r="J1766" s="1290"/>
      <c r="K1766" s="1290"/>
      <c r="L1766" s="1290"/>
      <c r="M1766" s="1290"/>
      <c r="N1766" s="1290"/>
      <c r="O1766" s="1290"/>
      <c r="P1766" s="1290"/>
    </row>
    <row r="1767" spans="1:16" s="1335" customFormat="1">
      <c r="A1767" s="1334"/>
      <c r="B1767" s="1290"/>
      <c r="C1767" s="1290"/>
      <c r="G1767" s="1290"/>
      <c r="H1767" s="1290"/>
      <c r="I1767" s="1290"/>
      <c r="J1767" s="1290"/>
      <c r="K1767" s="1290"/>
      <c r="L1767" s="1290"/>
      <c r="M1767" s="1290"/>
      <c r="N1767" s="1290"/>
      <c r="O1767" s="1290"/>
      <c r="P1767" s="1290"/>
    </row>
    <row r="1768" spans="1:16" s="1335" customFormat="1">
      <c r="A1768" s="1334"/>
      <c r="B1768" s="1290"/>
      <c r="C1768" s="1290"/>
      <c r="G1768" s="1290"/>
      <c r="H1768" s="1290"/>
      <c r="I1768" s="1290"/>
      <c r="J1768" s="1290"/>
      <c r="K1768" s="1290"/>
      <c r="L1768" s="1290"/>
      <c r="M1768" s="1290"/>
      <c r="N1768" s="1290"/>
      <c r="O1768" s="1290"/>
      <c r="P1768" s="1290"/>
    </row>
    <row r="1769" spans="1:16" s="1335" customFormat="1">
      <c r="A1769" s="1334"/>
      <c r="B1769" s="1290"/>
      <c r="C1769" s="1290"/>
      <c r="G1769" s="1290"/>
      <c r="H1769" s="1290"/>
      <c r="I1769" s="1290"/>
      <c r="J1769" s="1290"/>
      <c r="K1769" s="1290"/>
      <c r="L1769" s="1290"/>
      <c r="M1769" s="1290"/>
      <c r="N1769" s="1290"/>
      <c r="O1769" s="1290"/>
      <c r="P1769" s="1290"/>
    </row>
    <row r="1770" spans="1:16" s="1335" customFormat="1">
      <c r="A1770" s="1334"/>
      <c r="B1770" s="1290"/>
      <c r="C1770" s="1290"/>
      <c r="G1770" s="1290"/>
      <c r="H1770" s="1290"/>
      <c r="I1770" s="1290"/>
      <c r="J1770" s="1290"/>
      <c r="K1770" s="1290"/>
      <c r="L1770" s="1290"/>
      <c r="M1770" s="1290"/>
      <c r="N1770" s="1290"/>
      <c r="O1770" s="1290"/>
      <c r="P1770" s="1290"/>
    </row>
    <row r="1771" spans="1:16" s="1335" customFormat="1">
      <c r="A1771" s="1334"/>
      <c r="B1771" s="1290"/>
      <c r="C1771" s="1290"/>
      <c r="G1771" s="1290"/>
      <c r="H1771" s="1290"/>
      <c r="I1771" s="1290"/>
      <c r="J1771" s="1290"/>
      <c r="K1771" s="1290"/>
      <c r="L1771" s="1290"/>
      <c r="M1771" s="1290"/>
      <c r="N1771" s="1290"/>
      <c r="O1771" s="1290"/>
      <c r="P1771" s="1290"/>
    </row>
    <row r="1772" spans="1:16">
      <c r="B1772" s="1290"/>
      <c r="C1772" s="1290"/>
    </row>
    <row r="1773" spans="1:16">
      <c r="B1773" s="1290"/>
      <c r="C1773" s="1290"/>
    </row>
    <row r="1774" spans="1:16">
      <c r="B1774" s="1290"/>
      <c r="C1774" s="1290"/>
    </row>
    <row r="1775" spans="1:16">
      <c r="B1775" s="1290"/>
      <c r="C1775" s="1290"/>
    </row>
    <row r="1776" spans="1:16">
      <c r="B1776" s="1290"/>
      <c r="C1776" s="1290"/>
    </row>
    <row r="1777" spans="2:3">
      <c r="B1777" s="1290"/>
      <c r="C1777" s="1290"/>
    </row>
    <row r="1778" spans="2:3">
      <c r="B1778" s="1290"/>
      <c r="C1778" s="1290"/>
    </row>
    <row r="1779" spans="2:3">
      <c r="B1779" s="1290"/>
      <c r="C1779" s="1290"/>
    </row>
    <row r="1780" spans="2:3">
      <c r="B1780" s="1290"/>
      <c r="C1780" s="1290"/>
    </row>
    <row r="1781" spans="2:3">
      <c r="B1781" s="1290"/>
      <c r="C1781" s="1290"/>
    </row>
    <row r="1782" spans="2:3">
      <c r="B1782" s="1290"/>
      <c r="C1782" s="1290"/>
    </row>
    <row r="1783" spans="2:3">
      <c r="B1783" s="1290"/>
      <c r="C1783" s="1290"/>
    </row>
    <row r="1784" spans="2:3">
      <c r="B1784" s="1290"/>
      <c r="C1784" s="1290"/>
    </row>
    <row r="1785" spans="2:3">
      <c r="B1785" s="1290"/>
      <c r="C1785" s="1290"/>
    </row>
    <row r="1786" spans="2:3">
      <c r="B1786" s="1290"/>
      <c r="C1786" s="1290"/>
    </row>
    <row r="1787" spans="2:3">
      <c r="B1787" s="1290"/>
      <c r="C1787" s="1290"/>
    </row>
    <row r="1788" spans="2:3">
      <c r="B1788" s="1290"/>
      <c r="C1788" s="1290"/>
    </row>
    <row r="1789" spans="2:3">
      <c r="B1789" s="1290"/>
      <c r="C1789" s="1290"/>
    </row>
    <row r="1790" spans="2:3">
      <c r="B1790" s="1290"/>
      <c r="C1790" s="1290"/>
    </row>
    <row r="1791" spans="2:3">
      <c r="B1791" s="1290"/>
      <c r="C1791" s="1290"/>
    </row>
    <row r="1792" spans="2:3">
      <c r="B1792" s="1290"/>
      <c r="C1792" s="1290"/>
    </row>
    <row r="1793" spans="2:3">
      <c r="B1793" s="1290"/>
      <c r="C1793" s="1290"/>
    </row>
    <row r="1794" spans="2:3">
      <c r="B1794" s="1290"/>
      <c r="C1794" s="1290"/>
    </row>
    <row r="1795" spans="2:3">
      <c r="B1795" s="1290"/>
      <c r="C1795" s="1290"/>
    </row>
    <row r="1796" spans="2:3">
      <c r="B1796" s="1290"/>
      <c r="C1796" s="1290"/>
    </row>
    <row r="1797" spans="2:3">
      <c r="B1797" s="1290"/>
      <c r="C1797" s="1290"/>
    </row>
    <row r="1798" spans="2:3">
      <c r="B1798" s="1290"/>
      <c r="C1798" s="1290"/>
    </row>
    <row r="1799" spans="2:3">
      <c r="B1799" s="1290"/>
      <c r="C1799" s="1290"/>
    </row>
    <row r="1800" spans="2:3">
      <c r="B1800" s="1290"/>
      <c r="C1800" s="1290"/>
    </row>
    <row r="1801" spans="2:3">
      <c r="B1801" s="1290"/>
      <c r="C1801" s="1290"/>
    </row>
    <row r="1802" spans="2:3">
      <c r="B1802" s="1290"/>
      <c r="C1802" s="1290"/>
    </row>
    <row r="1803" spans="2:3">
      <c r="B1803" s="1290"/>
      <c r="C1803" s="1290"/>
    </row>
    <row r="1804" spans="2:3">
      <c r="B1804" s="1290"/>
      <c r="C1804" s="1290"/>
    </row>
    <row r="1805" spans="2:3">
      <c r="B1805" s="1290"/>
      <c r="C1805" s="1290"/>
    </row>
    <row r="1806" spans="2:3">
      <c r="B1806" s="1290"/>
      <c r="C1806" s="1290"/>
    </row>
    <row r="1807" spans="2:3">
      <c r="B1807" s="1290"/>
      <c r="C1807" s="1290"/>
    </row>
    <row r="1808" spans="2:3">
      <c r="B1808" s="1290"/>
      <c r="C1808" s="1290"/>
    </row>
    <row r="1809" spans="2:3">
      <c r="B1809" s="1290"/>
      <c r="C1809" s="1290"/>
    </row>
    <row r="1810" spans="2:3">
      <c r="B1810" s="1290"/>
      <c r="C1810" s="1290"/>
    </row>
    <row r="1811" spans="2:3">
      <c r="B1811" s="1290"/>
      <c r="C1811" s="1290"/>
    </row>
    <row r="1812" spans="2:3">
      <c r="B1812" s="1290"/>
      <c r="C1812" s="1290"/>
    </row>
    <row r="1813" spans="2:3">
      <c r="B1813" s="1290"/>
      <c r="C1813" s="1290"/>
    </row>
    <row r="1814" spans="2:3">
      <c r="B1814" s="1290"/>
      <c r="C1814" s="1290"/>
    </row>
    <row r="1815" spans="2:3">
      <c r="B1815" s="1290"/>
      <c r="C1815" s="1290"/>
    </row>
    <row r="1816" spans="2:3">
      <c r="B1816" s="1290"/>
      <c r="C1816" s="1290"/>
    </row>
    <row r="1817" spans="2:3">
      <c r="B1817" s="1290"/>
      <c r="C1817" s="1290"/>
    </row>
    <row r="1818" spans="2:3">
      <c r="B1818" s="1290"/>
      <c r="C1818" s="1290"/>
    </row>
    <row r="1819" spans="2:3">
      <c r="B1819" s="1290"/>
      <c r="C1819" s="1290"/>
    </row>
    <row r="1820" spans="2:3">
      <c r="B1820" s="1290"/>
      <c r="C1820" s="1290"/>
    </row>
    <row r="1821" spans="2:3">
      <c r="B1821" s="1290"/>
      <c r="C1821" s="1290"/>
    </row>
    <row r="1822" spans="2:3">
      <c r="B1822" s="1290"/>
      <c r="C1822" s="1290"/>
    </row>
    <row r="1823" spans="2:3">
      <c r="B1823" s="1290"/>
      <c r="C1823" s="1290"/>
    </row>
    <row r="1824" spans="2:3">
      <c r="B1824" s="1290"/>
      <c r="C1824" s="1290"/>
    </row>
    <row r="1825" spans="2:3">
      <c r="B1825" s="1290"/>
      <c r="C1825" s="1290"/>
    </row>
    <row r="1826" spans="2:3">
      <c r="B1826" s="1290"/>
      <c r="C1826" s="1290"/>
    </row>
    <row r="1827" spans="2:3">
      <c r="B1827" s="1290"/>
      <c r="C1827" s="1290"/>
    </row>
    <row r="1828" spans="2:3">
      <c r="B1828" s="1290"/>
      <c r="C1828" s="1290"/>
    </row>
    <row r="1829" spans="2:3">
      <c r="B1829" s="1290"/>
      <c r="C1829" s="1290"/>
    </row>
    <row r="1830" spans="2:3">
      <c r="B1830" s="1290"/>
      <c r="C1830" s="1290"/>
    </row>
    <row r="1831" spans="2:3">
      <c r="B1831" s="1290"/>
      <c r="C1831" s="1290"/>
    </row>
    <row r="1832" spans="2:3">
      <c r="B1832" s="1290"/>
      <c r="C1832" s="1290"/>
    </row>
    <row r="1833" spans="2:3">
      <c r="B1833" s="1290"/>
      <c r="C1833" s="1290"/>
    </row>
    <row r="1834" spans="2:3">
      <c r="B1834" s="1290"/>
      <c r="C1834" s="1290"/>
    </row>
    <row r="1835" spans="2:3">
      <c r="B1835" s="1290"/>
      <c r="C1835" s="1290"/>
    </row>
    <row r="1836" spans="2:3">
      <c r="B1836" s="1290"/>
      <c r="C1836" s="1290"/>
    </row>
    <row r="1837" spans="2:3">
      <c r="B1837" s="1290"/>
      <c r="C1837" s="1290"/>
    </row>
    <row r="1838" spans="2:3">
      <c r="B1838" s="1290"/>
      <c r="C1838" s="1290"/>
    </row>
    <row r="1839" spans="2:3">
      <c r="B1839" s="1290"/>
      <c r="C1839" s="1290"/>
    </row>
    <row r="1840" spans="2:3">
      <c r="B1840" s="1290"/>
      <c r="C1840" s="1290"/>
    </row>
    <row r="1841" spans="2:3">
      <c r="B1841" s="1290"/>
      <c r="C1841" s="1290"/>
    </row>
    <row r="1842" spans="2:3">
      <c r="B1842" s="1290"/>
      <c r="C1842" s="1290"/>
    </row>
    <row r="1843" spans="2:3">
      <c r="B1843" s="1290"/>
      <c r="C1843" s="1290"/>
    </row>
    <row r="1844" spans="2:3">
      <c r="B1844" s="1290"/>
      <c r="C1844" s="1290"/>
    </row>
    <row r="1845" spans="2:3">
      <c r="B1845" s="1290"/>
      <c r="C1845" s="1290"/>
    </row>
    <row r="1846" spans="2:3">
      <c r="B1846" s="1290"/>
      <c r="C1846" s="1290"/>
    </row>
    <row r="1847" spans="2:3">
      <c r="B1847" s="1290"/>
      <c r="C1847" s="1290"/>
    </row>
    <row r="1848" spans="2:3">
      <c r="B1848" s="1290"/>
      <c r="C1848" s="1290"/>
    </row>
    <row r="1849" spans="2:3">
      <c r="B1849" s="1290"/>
      <c r="C1849" s="1290"/>
    </row>
    <row r="1850" spans="2:3">
      <c r="B1850" s="1290"/>
      <c r="C1850" s="1290"/>
    </row>
    <row r="1851" spans="2:3">
      <c r="B1851" s="1290"/>
      <c r="C1851" s="1290"/>
    </row>
    <row r="1852" spans="2:3">
      <c r="B1852" s="1290"/>
      <c r="C1852" s="1290"/>
    </row>
    <row r="1853" spans="2:3">
      <c r="B1853" s="1290"/>
      <c r="C1853" s="1290"/>
    </row>
    <row r="1854" spans="2:3">
      <c r="B1854" s="1290"/>
      <c r="C1854" s="1290"/>
    </row>
    <row r="1855" spans="2:3">
      <c r="B1855" s="1290"/>
      <c r="C1855" s="1290"/>
    </row>
    <row r="1856" spans="2:3">
      <c r="B1856" s="1290"/>
      <c r="C1856" s="1290"/>
    </row>
    <row r="1857" spans="2:3">
      <c r="B1857" s="1290"/>
      <c r="C1857" s="1290"/>
    </row>
    <row r="1858" spans="2:3">
      <c r="B1858" s="1290"/>
      <c r="C1858" s="1290"/>
    </row>
    <row r="1859" spans="2:3">
      <c r="B1859" s="1290"/>
      <c r="C1859" s="1290"/>
    </row>
    <row r="1860" spans="2:3">
      <c r="B1860" s="1290"/>
      <c r="C1860" s="1290"/>
    </row>
    <row r="1861" spans="2:3">
      <c r="B1861" s="1290"/>
      <c r="C1861" s="1290"/>
    </row>
    <row r="1862" spans="2:3">
      <c r="B1862" s="1290"/>
      <c r="C1862" s="1290"/>
    </row>
    <row r="1863" spans="2:3">
      <c r="B1863" s="1290"/>
      <c r="C1863" s="1290"/>
    </row>
    <row r="1864" spans="2:3">
      <c r="B1864" s="1290"/>
      <c r="C1864" s="1290"/>
    </row>
    <row r="1865" spans="2:3">
      <c r="B1865" s="1290"/>
      <c r="C1865" s="1290"/>
    </row>
    <row r="1866" spans="2:3">
      <c r="B1866" s="1290"/>
      <c r="C1866" s="1290"/>
    </row>
    <row r="1867" spans="2:3">
      <c r="B1867" s="1290"/>
      <c r="C1867" s="1290"/>
    </row>
    <row r="1868" spans="2:3">
      <c r="B1868" s="1290"/>
      <c r="C1868" s="1290"/>
    </row>
    <row r="1869" spans="2:3">
      <c r="B1869" s="1290"/>
      <c r="C1869" s="1290"/>
    </row>
    <row r="1870" spans="2:3">
      <c r="B1870" s="1290"/>
      <c r="C1870" s="1290"/>
    </row>
    <row r="1871" spans="2:3">
      <c r="B1871" s="1290"/>
      <c r="C1871" s="1290"/>
    </row>
    <row r="1872" spans="2:3">
      <c r="B1872" s="1290"/>
      <c r="C1872" s="1290"/>
    </row>
    <row r="1873" spans="2:3">
      <c r="B1873" s="1290"/>
      <c r="C1873" s="1290"/>
    </row>
    <row r="1874" spans="2:3">
      <c r="B1874" s="1290"/>
      <c r="C1874" s="1290"/>
    </row>
    <row r="1875" spans="2:3">
      <c r="B1875" s="1290"/>
      <c r="C1875" s="1290"/>
    </row>
    <row r="1876" spans="2:3">
      <c r="B1876" s="1290"/>
      <c r="C1876" s="1290"/>
    </row>
    <row r="1877" spans="2:3">
      <c r="B1877" s="1290"/>
      <c r="C1877" s="1290"/>
    </row>
    <row r="1878" spans="2:3">
      <c r="B1878" s="1290"/>
      <c r="C1878" s="1290"/>
    </row>
    <row r="1879" spans="2:3">
      <c r="B1879" s="1290"/>
      <c r="C1879" s="1290"/>
    </row>
    <row r="1880" spans="2:3">
      <c r="B1880" s="1290"/>
      <c r="C1880" s="1290"/>
    </row>
  </sheetData>
  <sheetProtection algorithmName="SHA-512" hashValue="dvddfXcgFvDK+0QNUGOi4Y9wce3hCdHO65HMDBkhnpfUv3RfikCSdlLj/PnM31cyc/ofU+eonVcPMn+F1uVdmQ==" saltValue="pAZsTIAYSUp98+dRhoaD9A==" spinCount="100000" sheet="1" objects="1" scenarios="1"/>
  <mergeCells count="1">
    <mergeCell ref="B31:E31"/>
  </mergeCells>
  <pageMargins left="0.70866141732283472" right="0.70866141732283472" top="0.74803149606299213" bottom="0.74803149606299213" header="0.31496062992125984" footer="0.31496062992125984"/>
  <pageSetup paperSize="9" scale="66" fitToHeight="0" orientation="portrait" horizontalDpi="4294967295" verticalDpi="4294967295" r:id="rId1"/>
  <headerFooter>
    <oddHeader xml:space="preserve">&amp;LInvestitor: Hrvatski institut za povijest&amp;CTroškovnik - Vertikalni transport
&amp;Rdatum:
lipanj 2025.
</oddHeader>
    <oddFooter xml:space="preserve">&amp;CGrađevina:
Palača bogoštovlja i nastave&amp;Rstr.: &amp;P od &amp;N
</oddFooter>
  </headerFooter>
  <rowBreaks count="1" manualBreakCount="1">
    <brk id="14" max="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L2049"/>
  <sheetViews>
    <sheetView topLeftCell="A1010" zoomScaleNormal="100" workbookViewId="0">
      <selection activeCell="J1027" sqref="J1027"/>
    </sheetView>
  </sheetViews>
  <sheetFormatPr defaultColWidth="8.7109375" defaultRowHeight="12.75"/>
  <cols>
    <col min="1" max="2" width="3.28515625" style="1518" customWidth="1"/>
    <col min="3" max="3" width="4" style="1522" bestFit="1" customWidth="1"/>
    <col min="4" max="4" width="44.7109375" style="1552" customWidth="1"/>
    <col min="5" max="5" width="7.7109375" style="1545" customWidth="1"/>
    <col min="6" max="6" width="7.7109375" style="1546" customWidth="1"/>
    <col min="7" max="7" width="10.7109375" style="1457" customWidth="1"/>
    <col min="8" max="8" width="15.7109375" style="1547" customWidth="1"/>
    <col min="9" max="9" width="12.5703125" style="1541" customWidth="1"/>
    <col min="10" max="10" width="14.5703125" style="1548" customWidth="1"/>
    <col min="11" max="11" width="8.7109375" style="1591"/>
    <col min="12" max="256" width="8.7109375" style="1538"/>
    <col min="257" max="257" width="2.7109375" style="1538" customWidth="1"/>
    <col min="258" max="258" width="3.140625" style="1538" customWidth="1"/>
    <col min="259" max="259" width="3.28515625" style="1538" customWidth="1"/>
    <col min="260" max="260" width="44.42578125" style="1538" customWidth="1"/>
    <col min="261" max="261" width="8.42578125" style="1538" customWidth="1"/>
    <col min="262" max="263" width="10.7109375" style="1538" customWidth="1"/>
    <col min="264" max="264" width="14.7109375" style="1538" customWidth="1"/>
    <col min="265" max="265" width="12.5703125" style="1538" customWidth="1"/>
    <col min="266" max="266" width="14.5703125" style="1538" customWidth="1"/>
    <col min="267" max="512" width="8.7109375" style="1538"/>
    <col min="513" max="513" width="2.7109375" style="1538" customWidth="1"/>
    <col min="514" max="514" width="3.140625" style="1538" customWidth="1"/>
    <col min="515" max="515" width="3.28515625" style="1538" customWidth="1"/>
    <col min="516" max="516" width="44.42578125" style="1538" customWidth="1"/>
    <col min="517" max="517" width="8.42578125" style="1538" customWidth="1"/>
    <col min="518" max="519" width="10.7109375" style="1538" customWidth="1"/>
    <col min="520" max="520" width="14.7109375" style="1538" customWidth="1"/>
    <col min="521" max="521" width="12.5703125" style="1538" customWidth="1"/>
    <col min="522" max="522" width="14.5703125" style="1538" customWidth="1"/>
    <col min="523" max="768" width="8.7109375" style="1538"/>
    <col min="769" max="769" width="2.7109375" style="1538" customWidth="1"/>
    <col min="770" max="770" width="3.140625" style="1538" customWidth="1"/>
    <col min="771" max="771" width="3.28515625" style="1538" customWidth="1"/>
    <col min="772" max="772" width="44.42578125" style="1538" customWidth="1"/>
    <col min="773" max="773" width="8.42578125" style="1538" customWidth="1"/>
    <col min="774" max="775" width="10.7109375" style="1538" customWidth="1"/>
    <col min="776" max="776" width="14.7109375" style="1538" customWidth="1"/>
    <col min="777" max="777" width="12.5703125" style="1538" customWidth="1"/>
    <col min="778" max="778" width="14.5703125" style="1538" customWidth="1"/>
    <col min="779" max="1024" width="8.7109375" style="1538"/>
    <col min="1025" max="1025" width="2.7109375" style="1538" customWidth="1"/>
    <col min="1026" max="1026" width="3.140625" style="1538" customWidth="1"/>
    <col min="1027" max="1027" width="3.28515625" style="1538" customWidth="1"/>
    <col min="1028" max="1028" width="44.42578125" style="1538" customWidth="1"/>
    <col min="1029" max="1029" width="8.42578125" style="1538" customWidth="1"/>
    <col min="1030" max="1031" width="10.7109375" style="1538" customWidth="1"/>
    <col min="1032" max="1032" width="14.7109375" style="1538" customWidth="1"/>
    <col min="1033" max="1033" width="12.5703125" style="1538" customWidth="1"/>
    <col min="1034" max="1034" width="14.5703125" style="1538" customWidth="1"/>
    <col min="1035" max="1280" width="8.7109375" style="1538"/>
    <col min="1281" max="1281" width="2.7109375" style="1538" customWidth="1"/>
    <col min="1282" max="1282" width="3.140625" style="1538" customWidth="1"/>
    <col min="1283" max="1283" width="3.28515625" style="1538" customWidth="1"/>
    <col min="1284" max="1284" width="44.42578125" style="1538" customWidth="1"/>
    <col min="1285" max="1285" width="8.42578125" style="1538" customWidth="1"/>
    <col min="1286" max="1287" width="10.7109375" style="1538" customWidth="1"/>
    <col min="1288" max="1288" width="14.7109375" style="1538" customWidth="1"/>
    <col min="1289" max="1289" width="12.5703125" style="1538" customWidth="1"/>
    <col min="1290" max="1290" width="14.5703125" style="1538" customWidth="1"/>
    <col min="1291" max="1536" width="8.7109375" style="1538"/>
    <col min="1537" max="1537" width="2.7109375" style="1538" customWidth="1"/>
    <col min="1538" max="1538" width="3.140625" style="1538" customWidth="1"/>
    <col min="1539" max="1539" width="3.28515625" style="1538" customWidth="1"/>
    <col min="1540" max="1540" width="44.42578125" style="1538" customWidth="1"/>
    <col min="1541" max="1541" width="8.42578125" style="1538" customWidth="1"/>
    <col min="1542" max="1543" width="10.7109375" style="1538" customWidth="1"/>
    <col min="1544" max="1544" width="14.7109375" style="1538" customWidth="1"/>
    <col min="1545" max="1545" width="12.5703125" style="1538" customWidth="1"/>
    <col min="1546" max="1546" width="14.5703125" style="1538" customWidth="1"/>
    <col min="1547" max="1792" width="8.7109375" style="1538"/>
    <col min="1793" max="1793" width="2.7109375" style="1538" customWidth="1"/>
    <col min="1794" max="1794" width="3.140625" style="1538" customWidth="1"/>
    <col min="1795" max="1795" width="3.28515625" style="1538" customWidth="1"/>
    <col min="1796" max="1796" width="44.42578125" style="1538" customWidth="1"/>
    <col min="1797" max="1797" width="8.42578125" style="1538" customWidth="1"/>
    <col min="1798" max="1799" width="10.7109375" style="1538" customWidth="1"/>
    <col min="1800" max="1800" width="14.7109375" style="1538" customWidth="1"/>
    <col min="1801" max="1801" width="12.5703125" style="1538" customWidth="1"/>
    <col min="1802" max="1802" width="14.5703125" style="1538" customWidth="1"/>
    <col min="1803" max="2048" width="8.7109375" style="1538"/>
    <col min="2049" max="2049" width="2.7109375" style="1538" customWidth="1"/>
    <col min="2050" max="2050" width="3.140625" style="1538" customWidth="1"/>
    <col min="2051" max="2051" width="3.28515625" style="1538" customWidth="1"/>
    <col min="2052" max="2052" width="44.42578125" style="1538" customWidth="1"/>
    <col min="2053" max="2053" width="8.42578125" style="1538" customWidth="1"/>
    <col min="2054" max="2055" width="10.7109375" style="1538" customWidth="1"/>
    <col min="2056" max="2056" width="14.7109375" style="1538" customWidth="1"/>
    <col min="2057" max="2057" width="12.5703125" style="1538" customWidth="1"/>
    <col min="2058" max="2058" width="14.5703125" style="1538" customWidth="1"/>
    <col min="2059" max="2304" width="8.7109375" style="1538"/>
    <col min="2305" max="2305" width="2.7109375" style="1538" customWidth="1"/>
    <col min="2306" max="2306" width="3.140625" style="1538" customWidth="1"/>
    <col min="2307" max="2307" width="3.28515625" style="1538" customWidth="1"/>
    <col min="2308" max="2308" width="44.42578125" style="1538" customWidth="1"/>
    <col min="2309" max="2309" width="8.42578125" style="1538" customWidth="1"/>
    <col min="2310" max="2311" width="10.7109375" style="1538" customWidth="1"/>
    <col min="2312" max="2312" width="14.7109375" style="1538" customWidth="1"/>
    <col min="2313" max="2313" width="12.5703125" style="1538" customWidth="1"/>
    <col min="2314" max="2314" width="14.5703125" style="1538" customWidth="1"/>
    <col min="2315" max="2560" width="8.7109375" style="1538"/>
    <col min="2561" max="2561" width="2.7109375" style="1538" customWidth="1"/>
    <col min="2562" max="2562" width="3.140625" style="1538" customWidth="1"/>
    <col min="2563" max="2563" width="3.28515625" style="1538" customWidth="1"/>
    <col min="2564" max="2564" width="44.42578125" style="1538" customWidth="1"/>
    <col min="2565" max="2565" width="8.42578125" style="1538" customWidth="1"/>
    <col min="2566" max="2567" width="10.7109375" style="1538" customWidth="1"/>
    <col min="2568" max="2568" width="14.7109375" style="1538" customWidth="1"/>
    <col min="2569" max="2569" width="12.5703125" style="1538" customWidth="1"/>
    <col min="2570" max="2570" width="14.5703125" style="1538" customWidth="1"/>
    <col min="2571" max="2816" width="8.7109375" style="1538"/>
    <col min="2817" max="2817" width="2.7109375" style="1538" customWidth="1"/>
    <col min="2818" max="2818" width="3.140625" style="1538" customWidth="1"/>
    <col min="2819" max="2819" width="3.28515625" style="1538" customWidth="1"/>
    <col min="2820" max="2820" width="44.42578125" style="1538" customWidth="1"/>
    <col min="2821" max="2821" width="8.42578125" style="1538" customWidth="1"/>
    <col min="2822" max="2823" width="10.7109375" style="1538" customWidth="1"/>
    <col min="2824" max="2824" width="14.7109375" style="1538" customWidth="1"/>
    <col min="2825" max="2825" width="12.5703125" style="1538" customWidth="1"/>
    <col min="2826" max="2826" width="14.5703125" style="1538" customWidth="1"/>
    <col min="2827" max="3072" width="8.7109375" style="1538"/>
    <col min="3073" max="3073" width="2.7109375" style="1538" customWidth="1"/>
    <col min="3074" max="3074" width="3.140625" style="1538" customWidth="1"/>
    <col min="3075" max="3075" width="3.28515625" style="1538" customWidth="1"/>
    <col min="3076" max="3076" width="44.42578125" style="1538" customWidth="1"/>
    <col min="3077" max="3077" width="8.42578125" style="1538" customWidth="1"/>
    <col min="3078" max="3079" width="10.7109375" style="1538" customWidth="1"/>
    <col min="3080" max="3080" width="14.7109375" style="1538" customWidth="1"/>
    <col min="3081" max="3081" width="12.5703125" style="1538" customWidth="1"/>
    <col min="3082" max="3082" width="14.5703125" style="1538" customWidth="1"/>
    <col min="3083" max="3328" width="8.7109375" style="1538"/>
    <col min="3329" max="3329" width="2.7109375" style="1538" customWidth="1"/>
    <col min="3330" max="3330" width="3.140625" style="1538" customWidth="1"/>
    <col min="3331" max="3331" width="3.28515625" style="1538" customWidth="1"/>
    <col min="3332" max="3332" width="44.42578125" style="1538" customWidth="1"/>
    <col min="3333" max="3333" width="8.42578125" style="1538" customWidth="1"/>
    <col min="3334" max="3335" width="10.7109375" style="1538" customWidth="1"/>
    <col min="3336" max="3336" width="14.7109375" style="1538" customWidth="1"/>
    <col min="3337" max="3337" width="12.5703125" style="1538" customWidth="1"/>
    <col min="3338" max="3338" width="14.5703125" style="1538" customWidth="1"/>
    <col min="3339" max="3584" width="8.7109375" style="1538"/>
    <col min="3585" max="3585" width="2.7109375" style="1538" customWidth="1"/>
    <col min="3586" max="3586" width="3.140625" style="1538" customWidth="1"/>
    <col min="3587" max="3587" width="3.28515625" style="1538" customWidth="1"/>
    <col min="3588" max="3588" width="44.42578125" style="1538" customWidth="1"/>
    <col min="3589" max="3589" width="8.42578125" style="1538" customWidth="1"/>
    <col min="3590" max="3591" width="10.7109375" style="1538" customWidth="1"/>
    <col min="3592" max="3592" width="14.7109375" style="1538" customWidth="1"/>
    <col min="3593" max="3593" width="12.5703125" style="1538" customWidth="1"/>
    <col min="3594" max="3594" width="14.5703125" style="1538" customWidth="1"/>
    <col min="3595" max="3840" width="8.7109375" style="1538"/>
    <col min="3841" max="3841" width="2.7109375" style="1538" customWidth="1"/>
    <col min="3842" max="3842" width="3.140625" style="1538" customWidth="1"/>
    <col min="3843" max="3843" width="3.28515625" style="1538" customWidth="1"/>
    <col min="3844" max="3844" width="44.42578125" style="1538" customWidth="1"/>
    <col min="3845" max="3845" width="8.42578125" style="1538" customWidth="1"/>
    <col min="3846" max="3847" width="10.7109375" style="1538" customWidth="1"/>
    <col min="3848" max="3848" width="14.7109375" style="1538" customWidth="1"/>
    <col min="3849" max="3849" width="12.5703125" style="1538" customWidth="1"/>
    <col min="3850" max="3850" width="14.5703125" style="1538" customWidth="1"/>
    <col min="3851" max="4096" width="8.7109375" style="1538"/>
    <col min="4097" max="4097" width="2.7109375" style="1538" customWidth="1"/>
    <col min="4098" max="4098" width="3.140625" style="1538" customWidth="1"/>
    <col min="4099" max="4099" width="3.28515625" style="1538" customWidth="1"/>
    <col min="4100" max="4100" width="44.42578125" style="1538" customWidth="1"/>
    <col min="4101" max="4101" width="8.42578125" style="1538" customWidth="1"/>
    <col min="4102" max="4103" width="10.7109375" style="1538" customWidth="1"/>
    <col min="4104" max="4104" width="14.7109375" style="1538" customWidth="1"/>
    <col min="4105" max="4105" width="12.5703125" style="1538" customWidth="1"/>
    <col min="4106" max="4106" width="14.5703125" style="1538" customWidth="1"/>
    <col min="4107" max="4352" width="8.7109375" style="1538"/>
    <col min="4353" max="4353" width="2.7109375" style="1538" customWidth="1"/>
    <col min="4354" max="4354" width="3.140625" style="1538" customWidth="1"/>
    <col min="4355" max="4355" width="3.28515625" style="1538" customWidth="1"/>
    <col min="4356" max="4356" width="44.42578125" style="1538" customWidth="1"/>
    <col min="4357" max="4357" width="8.42578125" style="1538" customWidth="1"/>
    <col min="4358" max="4359" width="10.7109375" style="1538" customWidth="1"/>
    <col min="4360" max="4360" width="14.7109375" style="1538" customWidth="1"/>
    <col min="4361" max="4361" width="12.5703125" style="1538" customWidth="1"/>
    <col min="4362" max="4362" width="14.5703125" style="1538" customWidth="1"/>
    <col min="4363" max="4608" width="8.7109375" style="1538"/>
    <col min="4609" max="4609" width="2.7109375" style="1538" customWidth="1"/>
    <col min="4610" max="4610" width="3.140625" style="1538" customWidth="1"/>
    <col min="4611" max="4611" width="3.28515625" style="1538" customWidth="1"/>
    <col min="4612" max="4612" width="44.42578125" style="1538" customWidth="1"/>
    <col min="4613" max="4613" width="8.42578125" style="1538" customWidth="1"/>
    <col min="4614" max="4615" width="10.7109375" style="1538" customWidth="1"/>
    <col min="4616" max="4616" width="14.7109375" style="1538" customWidth="1"/>
    <col min="4617" max="4617" width="12.5703125" style="1538" customWidth="1"/>
    <col min="4618" max="4618" width="14.5703125" style="1538" customWidth="1"/>
    <col min="4619" max="4864" width="8.7109375" style="1538"/>
    <col min="4865" max="4865" width="2.7109375" style="1538" customWidth="1"/>
    <col min="4866" max="4866" width="3.140625" style="1538" customWidth="1"/>
    <col min="4867" max="4867" width="3.28515625" style="1538" customWidth="1"/>
    <col min="4868" max="4868" width="44.42578125" style="1538" customWidth="1"/>
    <col min="4869" max="4869" width="8.42578125" style="1538" customWidth="1"/>
    <col min="4870" max="4871" width="10.7109375" style="1538" customWidth="1"/>
    <col min="4872" max="4872" width="14.7109375" style="1538" customWidth="1"/>
    <col min="4873" max="4873" width="12.5703125" style="1538" customWidth="1"/>
    <col min="4874" max="4874" width="14.5703125" style="1538" customWidth="1"/>
    <col min="4875" max="5120" width="8.7109375" style="1538"/>
    <col min="5121" max="5121" width="2.7109375" style="1538" customWidth="1"/>
    <col min="5122" max="5122" width="3.140625" style="1538" customWidth="1"/>
    <col min="5123" max="5123" width="3.28515625" style="1538" customWidth="1"/>
    <col min="5124" max="5124" width="44.42578125" style="1538" customWidth="1"/>
    <col min="5125" max="5125" width="8.42578125" style="1538" customWidth="1"/>
    <col min="5126" max="5127" width="10.7109375" style="1538" customWidth="1"/>
    <col min="5128" max="5128" width="14.7109375" style="1538" customWidth="1"/>
    <col min="5129" max="5129" width="12.5703125" style="1538" customWidth="1"/>
    <col min="5130" max="5130" width="14.5703125" style="1538" customWidth="1"/>
    <col min="5131" max="5376" width="8.7109375" style="1538"/>
    <col min="5377" max="5377" width="2.7109375" style="1538" customWidth="1"/>
    <col min="5378" max="5378" width="3.140625" style="1538" customWidth="1"/>
    <col min="5379" max="5379" width="3.28515625" style="1538" customWidth="1"/>
    <col min="5380" max="5380" width="44.42578125" style="1538" customWidth="1"/>
    <col min="5381" max="5381" width="8.42578125" style="1538" customWidth="1"/>
    <col min="5382" max="5383" width="10.7109375" style="1538" customWidth="1"/>
    <col min="5384" max="5384" width="14.7109375" style="1538" customWidth="1"/>
    <col min="5385" max="5385" width="12.5703125" style="1538" customWidth="1"/>
    <col min="5386" max="5386" width="14.5703125" style="1538" customWidth="1"/>
    <col min="5387" max="5632" width="8.7109375" style="1538"/>
    <col min="5633" max="5633" width="2.7109375" style="1538" customWidth="1"/>
    <col min="5634" max="5634" width="3.140625" style="1538" customWidth="1"/>
    <col min="5635" max="5635" width="3.28515625" style="1538" customWidth="1"/>
    <col min="5636" max="5636" width="44.42578125" style="1538" customWidth="1"/>
    <col min="5637" max="5637" width="8.42578125" style="1538" customWidth="1"/>
    <col min="5638" max="5639" width="10.7109375" style="1538" customWidth="1"/>
    <col min="5640" max="5640" width="14.7109375" style="1538" customWidth="1"/>
    <col min="5641" max="5641" width="12.5703125" style="1538" customWidth="1"/>
    <col min="5642" max="5642" width="14.5703125" style="1538" customWidth="1"/>
    <col min="5643" max="5888" width="8.7109375" style="1538"/>
    <col min="5889" max="5889" width="2.7109375" style="1538" customWidth="1"/>
    <col min="5890" max="5890" width="3.140625" style="1538" customWidth="1"/>
    <col min="5891" max="5891" width="3.28515625" style="1538" customWidth="1"/>
    <col min="5892" max="5892" width="44.42578125" style="1538" customWidth="1"/>
    <col min="5893" max="5893" width="8.42578125" style="1538" customWidth="1"/>
    <col min="5894" max="5895" width="10.7109375" style="1538" customWidth="1"/>
    <col min="5896" max="5896" width="14.7109375" style="1538" customWidth="1"/>
    <col min="5897" max="5897" width="12.5703125" style="1538" customWidth="1"/>
    <col min="5898" max="5898" width="14.5703125" style="1538" customWidth="1"/>
    <col min="5899" max="6144" width="8.7109375" style="1538"/>
    <col min="6145" max="6145" width="2.7109375" style="1538" customWidth="1"/>
    <col min="6146" max="6146" width="3.140625" style="1538" customWidth="1"/>
    <col min="6147" max="6147" width="3.28515625" style="1538" customWidth="1"/>
    <col min="6148" max="6148" width="44.42578125" style="1538" customWidth="1"/>
    <col min="6149" max="6149" width="8.42578125" style="1538" customWidth="1"/>
    <col min="6150" max="6151" width="10.7109375" style="1538" customWidth="1"/>
    <col min="6152" max="6152" width="14.7109375" style="1538" customWidth="1"/>
    <col min="6153" max="6153" width="12.5703125" style="1538" customWidth="1"/>
    <col min="6154" max="6154" width="14.5703125" style="1538" customWidth="1"/>
    <col min="6155" max="6400" width="8.7109375" style="1538"/>
    <col min="6401" max="6401" width="2.7109375" style="1538" customWidth="1"/>
    <col min="6402" max="6402" width="3.140625" style="1538" customWidth="1"/>
    <col min="6403" max="6403" width="3.28515625" style="1538" customWidth="1"/>
    <col min="6404" max="6404" width="44.42578125" style="1538" customWidth="1"/>
    <col min="6405" max="6405" width="8.42578125" style="1538" customWidth="1"/>
    <col min="6406" max="6407" width="10.7109375" style="1538" customWidth="1"/>
    <col min="6408" max="6408" width="14.7109375" style="1538" customWidth="1"/>
    <col min="6409" max="6409" width="12.5703125" style="1538" customWidth="1"/>
    <col min="6410" max="6410" width="14.5703125" style="1538" customWidth="1"/>
    <col min="6411" max="6656" width="8.7109375" style="1538"/>
    <col min="6657" max="6657" width="2.7109375" style="1538" customWidth="1"/>
    <col min="6658" max="6658" width="3.140625" style="1538" customWidth="1"/>
    <col min="6659" max="6659" width="3.28515625" style="1538" customWidth="1"/>
    <col min="6660" max="6660" width="44.42578125" style="1538" customWidth="1"/>
    <col min="6661" max="6661" width="8.42578125" style="1538" customWidth="1"/>
    <col min="6662" max="6663" width="10.7109375" style="1538" customWidth="1"/>
    <col min="6664" max="6664" width="14.7109375" style="1538" customWidth="1"/>
    <col min="6665" max="6665" width="12.5703125" style="1538" customWidth="1"/>
    <col min="6666" max="6666" width="14.5703125" style="1538" customWidth="1"/>
    <col min="6667" max="6912" width="8.7109375" style="1538"/>
    <col min="6913" max="6913" width="2.7109375" style="1538" customWidth="1"/>
    <col min="6914" max="6914" width="3.140625" style="1538" customWidth="1"/>
    <col min="6915" max="6915" width="3.28515625" style="1538" customWidth="1"/>
    <col min="6916" max="6916" width="44.42578125" style="1538" customWidth="1"/>
    <col min="6917" max="6917" width="8.42578125" style="1538" customWidth="1"/>
    <col min="6918" max="6919" width="10.7109375" style="1538" customWidth="1"/>
    <col min="6920" max="6920" width="14.7109375" style="1538" customWidth="1"/>
    <col min="6921" max="6921" width="12.5703125" style="1538" customWidth="1"/>
    <col min="6922" max="6922" width="14.5703125" style="1538" customWidth="1"/>
    <col min="6923" max="7168" width="8.7109375" style="1538"/>
    <col min="7169" max="7169" width="2.7109375" style="1538" customWidth="1"/>
    <col min="7170" max="7170" width="3.140625" style="1538" customWidth="1"/>
    <col min="7171" max="7171" width="3.28515625" style="1538" customWidth="1"/>
    <col min="7172" max="7172" width="44.42578125" style="1538" customWidth="1"/>
    <col min="7173" max="7173" width="8.42578125" style="1538" customWidth="1"/>
    <col min="7174" max="7175" width="10.7109375" style="1538" customWidth="1"/>
    <col min="7176" max="7176" width="14.7109375" style="1538" customWidth="1"/>
    <col min="7177" max="7177" width="12.5703125" style="1538" customWidth="1"/>
    <col min="7178" max="7178" width="14.5703125" style="1538" customWidth="1"/>
    <col min="7179" max="7424" width="8.7109375" style="1538"/>
    <col min="7425" max="7425" width="2.7109375" style="1538" customWidth="1"/>
    <col min="7426" max="7426" width="3.140625" style="1538" customWidth="1"/>
    <col min="7427" max="7427" width="3.28515625" style="1538" customWidth="1"/>
    <col min="7428" max="7428" width="44.42578125" style="1538" customWidth="1"/>
    <col min="7429" max="7429" width="8.42578125" style="1538" customWidth="1"/>
    <col min="7430" max="7431" width="10.7109375" style="1538" customWidth="1"/>
    <col min="7432" max="7432" width="14.7109375" style="1538" customWidth="1"/>
    <col min="7433" max="7433" width="12.5703125" style="1538" customWidth="1"/>
    <col min="7434" max="7434" width="14.5703125" style="1538" customWidth="1"/>
    <col min="7435" max="7680" width="8.7109375" style="1538"/>
    <col min="7681" max="7681" width="2.7109375" style="1538" customWidth="1"/>
    <col min="7682" max="7682" width="3.140625" style="1538" customWidth="1"/>
    <col min="7683" max="7683" width="3.28515625" style="1538" customWidth="1"/>
    <col min="7684" max="7684" width="44.42578125" style="1538" customWidth="1"/>
    <col min="7685" max="7685" width="8.42578125" style="1538" customWidth="1"/>
    <col min="7686" max="7687" width="10.7109375" style="1538" customWidth="1"/>
    <col min="7688" max="7688" width="14.7109375" style="1538" customWidth="1"/>
    <col min="7689" max="7689" width="12.5703125" style="1538" customWidth="1"/>
    <col min="7690" max="7690" width="14.5703125" style="1538" customWidth="1"/>
    <col min="7691" max="7936" width="8.7109375" style="1538"/>
    <col min="7937" max="7937" width="2.7109375" style="1538" customWidth="1"/>
    <col min="7938" max="7938" width="3.140625" style="1538" customWidth="1"/>
    <col min="7939" max="7939" width="3.28515625" style="1538" customWidth="1"/>
    <col min="7940" max="7940" width="44.42578125" style="1538" customWidth="1"/>
    <col min="7941" max="7941" width="8.42578125" style="1538" customWidth="1"/>
    <col min="7942" max="7943" width="10.7109375" style="1538" customWidth="1"/>
    <col min="7944" max="7944" width="14.7109375" style="1538" customWidth="1"/>
    <col min="7945" max="7945" width="12.5703125" style="1538" customWidth="1"/>
    <col min="7946" max="7946" width="14.5703125" style="1538" customWidth="1"/>
    <col min="7947" max="8192" width="8.7109375" style="1538"/>
    <col min="8193" max="8193" width="2.7109375" style="1538" customWidth="1"/>
    <col min="8194" max="8194" width="3.140625" style="1538" customWidth="1"/>
    <col min="8195" max="8195" width="3.28515625" style="1538" customWidth="1"/>
    <col min="8196" max="8196" width="44.42578125" style="1538" customWidth="1"/>
    <col min="8197" max="8197" width="8.42578125" style="1538" customWidth="1"/>
    <col min="8198" max="8199" width="10.7109375" style="1538" customWidth="1"/>
    <col min="8200" max="8200" width="14.7109375" style="1538" customWidth="1"/>
    <col min="8201" max="8201" width="12.5703125" style="1538" customWidth="1"/>
    <col min="8202" max="8202" width="14.5703125" style="1538" customWidth="1"/>
    <col min="8203" max="8448" width="8.7109375" style="1538"/>
    <col min="8449" max="8449" width="2.7109375" style="1538" customWidth="1"/>
    <col min="8450" max="8450" width="3.140625" style="1538" customWidth="1"/>
    <col min="8451" max="8451" width="3.28515625" style="1538" customWidth="1"/>
    <col min="8452" max="8452" width="44.42578125" style="1538" customWidth="1"/>
    <col min="8453" max="8453" width="8.42578125" style="1538" customWidth="1"/>
    <col min="8454" max="8455" width="10.7109375" style="1538" customWidth="1"/>
    <col min="8456" max="8456" width="14.7109375" style="1538" customWidth="1"/>
    <col min="8457" max="8457" width="12.5703125" style="1538" customWidth="1"/>
    <col min="8458" max="8458" width="14.5703125" style="1538" customWidth="1"/>
    <col min="8459" max="8704" width="8.7109375" style="1538"/>
    <col min="8705" max="8705" width="2.7109375" style="1538" customWidth="1"/>
    <col min="8706" max="8706" width="3.140625" style="1538" customWidth="1"/>
    <col min="8707" max="8707" width="3.28515625" style="1538" customWidth="1"/>
    <col min="8708" max="8708" width="44.42578125" style="1538" customWidth="1"/>
    <col min="8709" max="8709" width="8.42578125" style="1538" customWidth="1"/>
    <col min="8710" max="8711" width="10.7109375" style="1538" customWidth="1"/>
    <col min="8712" max="8712" width="14.7109375" style="1538" customWidth="1"/>
    <col min="8713" max="8713" width="12.5703125" style="1538" customWidth="1"/>
    <col min="8714" max="8714" width="14.5703125" style="1538" customWidth="1"/>
    <col min="8715" max="8960" width="8.7109375" style="1538"/>
    <col min="8961" max="8961" width="2.7109375" style="1538" customWidth="1"/>
    <col min="8962" max="8962" width="3.140625" style="1538" customWidth="1"/>
    <col min="8963" max="8963" width="3.28515625" style="1538" customWidth="1"/>
    <col min="8964" max="8964" width="44.42578125" style="1538" customWidth="1"/>
    <col min="8965" max="8965" width="8.42578125" style="1538" customWidth="1"/>
    <col min="8966" max="8967" width="10.7109375" style="1538" customWidth="1"/>
    <col min="8968" max="8968" width="14.7109375" style="1538" customWidth="1"/>
    <col min="8969" max="8969" width="12.5703125" style="1538" customWidth="1"/>
    <col min="8970" max="8970" width="14.5703125" style="1538" customWidth="1"/>
    <col min="8971" max="9216" width="8.7109375" style="1538"/>
    <col min="9217" max="9217" width="2.7109375" style="1538" customWidth="1"/>
    <col min="9218" max="9218" width="3.140625" style="1538" customWidth="1"/>
    <col min="9219" max="9219" width="3.28515625" style="1538" customWidth="1"/>
    <col min="9220" max="9220" width="44.42578125" style="1538" customWidth="1"/>
    <col min="9221" max="9221" width="8.42578125" style="1538" customWidth="1"/>
    <col min="9222" max="9223" width="10.7109375" style="1538" customWidth="1"/>
    <col min="9224" max="9224" width="14.7109375" style="1538" customWidth="1"/>
    <col min="9225" max="9225" width="12.5703125" style="1538" customWidth="1"/>
    <col min="9226" max="9226" width="14.5703125" style="1538" customWidth="1"/>
    <col min="9227" max="9472" width="8.7109375" style="1538"/>
    <col min="9473" max="9473" width="2.7109375" style="1538" customWidth="1"/>
    <col min="9474" max="9474" width="3.140625" style="1538" customWidth="1"/>
    <col min="9475" max="9475" width="3.28515625" style="1538" customWidth="1"/>
    <col min="9476" max="9476" width="44.42578125" style="1538" customWidth="1"/>
    <col min="9477" max="9477" width="8.42578125" style="1538" customWidth="1"/>
    <col min="9478" max="9479" width="10.7109375" style="1538" customWidth="1"/>
    <col min="9480" max="9480" width="14.7109375" style="1538" customWidth="1"/>
    <col min="9481" max="9481" width="12.5703125" style="1538" customWidth="1"/>
    <col min="9482" max="9482" width="14.5703125" style="1538" customWidth="1"/>
    <col min="9483" max="9728" width="8.7109375" style="1538"/>
    <col min="9729" max="9729" width="2.7109375" style="1538" customWidth="1"/>
    <col min="9730" max="9730" width="3.140625" style="1538" customWidth="1"/>
    <col min="9731" max="9731" width="3.28515625" style="1538" customWidth="1"/>
    <col min="9732" max="9732" width="44.42578125" style="1538" customWidth="1"/>
    <col min="9733" max="9733" width="8.42578125" style="1538" customWidth="1"/>
    <col min="9734" max="9735" width="10.7109375" style="1538" customWidth="1"/>
    <col min="9736" max="9736" width="14.7109375" style="1538" customWidth="1"/>
    <col min="9737" max="9737" width="12.5703125" style="1538" customWidth="1"/>
    <col min="9738" max="9738" width="14.5703125" style="1538" customWidth="1"/>
    <col min="9739" max="9984" width="8.7109375" style="1538"/>
    <col min="9985" max="9985" width="2.7109375" style="1538" customWidth="1"/>
    <col min="9986" max="9986" width="3.140625" style="1538" customWidth="1"/>
    <col min="9987" max="9987" width="3.28515625" style="1538" customWidth="1"/>
    <col min="9988" max="9988" width="44.42578125" style="1538" customWidth="1"/>
    <col min="9989" max="9989" width="8.42578125" style="1538" customWidth="1"/>
    <col min="9990" max="9991" width="10.7109375" style="1538" customWidth="1"/>
    <col min="9992" max="9992" width="14.7109375" style="1538" customWidth="1"/>
    <col min="9993" max="9993" width="12.5703125" style="1538" customWidth="1"/>
    <col min="9994" max="9994" width="14.5703125" style="1538" customWidth="1"/>
    <col min="9995" max="10240" width="8.7109375" style="1538"/>
    <col min="10241" max="10241" width="2.7109375" style="1538" customWidth="1"/>
    <col min="10242" max="10242" width="3.140625" style="1538" customWidth="1"/>
    <col min="10243" max="10243" width="3.28515625" style="1538" customWidth="1"/>
    <col min="10244" max="10244" width="44.42578125" style="1538" customWidth="1"/>
    <col min="10245" max="10245" width="8.42578125" style="1538" customWidth="1"/>
    <col min="10246" max="10247" width="10.7109375" style="1538" customWidth="1"/>
    <col min="10248" max="10248" width="14.7109375" style="1538" customWidth="1"/>
    <col min="10249" max="10249" width="12.5703125" style="1538" customWidth="1"/>
    <col min="10250" max="10250" width="14.5703125" style="1538" customWidth="1"/>
    <col min="10251" max="10496" width="8.7109375" style="1538"/>
    <col min="10497" max="10497" width="2.7109375" style="1538" customWidth="1"/>
    <col min="10498" max="10498" width="3.140625" style="1538" customWidth="1"/>
    <col min="10499" max="10499" width="3.28515625" style="1538" customWidth="1"/>
    <col min="10500" max="10500" width="44.42578125" style="1538" customWidth="1"/>
    <col min="10501" max="10501" width="8.42578125" style="1538" customWidth="1"/>
    <col min="10502" max="10503" width="10.7109375" style="1538" customWidth="1"/>
    <col min="10504" max="10504" width="14.7109375" style="1538" customWidth="1"/>
    <col min="10505" max="10505" width="12.5703125" style="1538" customWidth="1"/>
    <col min="10506" max="10506" width="14.5703125" style="1538" customWidth="1"/>
    <col min="10507" max="10752" width="8.7109375" style="1538"/>
    <col min="10753" max="10753" width="2.7109375" style="1538" customWidth="1"/>
    <col min="10754" max="10754" width="3.140625" style="1538" customWidth="1"/>
    <col min="10755" max="10755" width="3.28515625" style="1538" customWidth="1"/>
    <col min="10756" max="10756" width="44.42578125" style="1538" customWidth="1"/>
    <col min="10757" max="10757" width="8.42578125" style="1538" customWidth="1"/>
    <col min="10758" max="10759" width="10.7109375" style="1538" customWidth="1"/>
    <col min="10760" max="10760" width="14.7109375" style="1538" customWidth="1"/>
    <col min="10761" max="10761" width="12.5703125" style="1538" customWidth="1"/>
    <col min="10762" max="10762" width="14.5703125" style="1538" customWidth="1"/>
    <col min="10763" max="11008" width="8.7109375" style="1538"/>
    <col min="11009" max="11009" width="2.7109375" style="1538" customWidth="1"/>
    <col min="11010" max="11010" width="3.140625" style="1538" customWidth="1"/>
    <col min="11011" max="11011" width="3.28515625" style="1538" customWidth="1"/>
    <col min="11012" max="11012" width="44.42578125" style="1538" customWidth="1"/>
    <col min="11013" max="11013" width="8.42578125" style="1538" customWidth="1"/>
    <col min="11014" max="11015" width="10.7109375" style="1538" customWidth="1"/>
    <col min="11016" max="11016" width="14.7109375" style="1538" customWidth="1"/>
    <col min="11017" max="11017" width="12.5703125" style="1538" customWidth="1"/>
    <col min="11018" max="11018" width="14.5703125" style="1538" customWidth="1"/>
    <col min="11019" max="11264" width="8.7109375" style="1538"/>
    <col min="11265" max="11265" width="2.7109375" style="1538" customWidth="1"/>
    <col min="11266" max="11266" width="3.140625" style="1538" customWidth="1"/>
    <col min="11267" max="11267" width="3.28515625" style="1538" customWidth="1"/>
    <col min="11268" max="11268" width="44.42578125" style="1538" customWidth="1"/>
    <col min="11269" max="11269" width="8.42578125" style="1538" customWidth="1"/>
    <col min="11270" max="11271" width="10.7109375" style="1538" customWidth="1"/>
    <col min="11272" max="11272" width="14.7109375" style="1538" customWidth="1"/>
    <col min="11273" max="11273" width="12.5703125" style="1538" customWidth="1"/>
    <col min="11274" max="11274" width="14.5703125" style="1538" customWidth="1"/>
    <col min="11275" max="11520" width="8.7109375" style="1538"/>
    <col min="11521" max="11521" width="2.7109375" style="1538" customWidth="1"/>
    <col min="11522" max="11522" width="3.140625" style="1538" customWidth="1"/>
    <col min="11523" max="11523" width="3.28515625" style="1538" customWidth="1"/>
    <col min="11524" max="11524" width="44.42578125" style="1538" customWidth="1"/>
    <col min="11525" max="11525" width="8.42578125" style="1538" customWidth="1"/>
    <col min="11526" max="11527" width="10.7109375" style="1538" customWidth="1"/>
    <col min="11528" max="11528" width="14.7109375" style="1538" customWidth="1"/>
    <col min="11529" max="11529" width="12.5703125" style="1538" customWidth="1"/>
    <col min="11530" max="11530" width="14.5703125" style="1538" customWidth="1"/>
    <col min="11531" max="11776" width="8.7109375" style="1538"/>
    <col min="11777" max="11777" width="2.7109375" style="1538" customWidth="1"/>
    <col min="11778" max="11778" width="3.140625" style="1538" customWidth="1"/>
    <col min="11779" max="11779" width="3.28515625" style="1538" customWidth="1"/>
    <col min="11780" max="11780" width="44.42578125" style="1538" customWidth="1"/>
    <col min="11781" max="11781" width="8.42578125" style="1538" customWidth="1"/>
    <col min="11782" max="11783" width="10.7109375" style="1538" customWidth="1"/>
    <col min="11784" max="11784" width="14.7109375" style="1538" customWidth="1"/>
    <col min="11785" max="11785" width="12.5703125" style="1538" customWidth="1"/>
    <col min="11786" max="11786" width="14.5703125" style="1538" customWidth="1"/>
    <col min="11787" max="12032" width="8.7109375" style="1538"/>
    <col min="12033" max="12033" width="2.7109375" style="1538" customWidth="1"/>
    <col min="12034" max="12034" width="3.140625" style="1538" customWidth="1"/>
    <col min="12035" max="12035" width="3.28515625" style="1538" customWidth="1"/>
    <col min="12036" max="12036" width="44.42578125" style="1538" customWidth="1"/>
    <col min="12037" max="12037" width="8.42578125" style="1538" customWidth="1"/>
    <col min="12038" max="12039" width="10.7109375" style="1538" customWidth="1"/>
    <col min="12040" max="12040" width="14.7109375" style="1538" customWidth="1"/>
    <col min="12041" max="12041" width="12.5703125" style="1538" customWidth="1"/>
    <col min="12042" max="12042" width="14.5703125" style="1538" customWidth="1"/>
    <col min="12043" max="12288" width="8.7109375" style="1538"/>
    <col min="12289" max="12289" width="2.7109375" style="1538" customWidth="1"/>
    <col min="12290" max="12290" width="3.140625" style="1538" customWidth="1"/>
    <col min="12291" max="12291" width="3.28515625" style="1538" customWidth="1"/>
    <col min="12292" max="12292" width="44.42578125" style="1538" customWidth="1"/>
    <col min="12293" max="12293" width="8.42578125" style="1538" customWidth="1"/>
    <col min="12294" max="12295" width="10.7109375" style="1538" customWidth="1"/>
    <col min="12296" max="12296" width="14.7109375" style="1538" customWidth="1"/>
    <col min="12297" max="12297" width="12.5703125" style="1538" customWidth="1"/>
    <col min="12298" max="12298" width="14.5703125" style="1538" customWidth="1"/>
    <col min="12299" max="12544" width="8.7109375" style="1538"/>
    <col min="12545" max="12545" width="2.7109375" style="1538" customWidth="1"/>
    <col min="12546" max="12546" width="3.140625" style="1538" customWidth="1"/>
    <col min="12547" max="12547" width="3.28515625" style="1538" customWidth="1"/>
    <col min="12548" max="12548" width="44.42578125" style="1538" customWidth="1"/>
    <col min="12549" max="12549" width="8.42578125" style="1538" customWidth="1"/>
    <col min="12550" max="12551" width="10.7109375" style="1538" customWidth="1"/>
    <col min="12552" max="12552" width="14.7109375" style="1538" customWidth="1"/>
    <col min="12553" max="12553" width="12.5703125" style="1538" customWidth="1"/>
    <col min="12554" max="12554" width="14.5703125" style="1538" customWidth="1"/>
    <col min="12555" max="12800" width="8.7109375" style="1538"/>
    <col min="12801" max="12801" width="2.7109375" style="1538" customWidth="1"/>
    <col min="12802" max="12802" width="3.140625" style="1538" customWidth="1"/>
    <col min="12803" max="12803" width="3.28515625" style="1538" customWidth="1"/>
    <col min="12804" max="12804" width="44.42578125" style="1538" customWidth="1"/>
    <col min="12805" max="12805" width="8.42578125" style="1538" customWidth="1"/>
    <col min="12806" max="12807" width="10.7109375" style="1538" customWidth="1"/>
    <col min="12808" max="12808" width="14.7109375" style="1538" customWidth="1"/>
    <col min="12809" max="12809" width="12.5703125" style="1538" customWidth="1"/>
    <col min="12810" max="12810" width="14.5703125" style="1538" customWidth="1"/>
    <col min="12811" max="13056" width="8.7109375" style="1538"/>
    <col min="13057" max="13057" width="2.7109375" style="1538" customWidth="1"/>
    <col min="13058" max="13058" width="3.140625" style="1538" customWidth="1"/>
    <col min="13059" max="13059" width="3.28515625" style="1538" customWidth="1"/>
    <col min="13060" max="13060" width="44.42578125" style="1538" customWidth="1"/>
    <col min="13061" max="13061" width="8.42578125" style="1538" customWidth="1"/>
    <col min="13062" max="13063" width="10.7109375" style="1538" customWidth="1"/>
    <col min="13064" max="13064" width="14.7109375" style="1538" customWidth="1"/>
    <col min="13065" max="13065" width="12.5703125" style="1538" customWidth="1"/>
    <col min="13066" max="13066" width="14.5703125" style="1538" customWidth="1"/>
    <col min="13067" max="13312" width="8.7109375" style="1538"/>
    <col min="13313" max="13313" width="2.7109375" style="1538" customWidth="1"/>
    <col min="13314" max="13314" width="3.140625" style="1538" customWidth="1"/>
    <col min="13315" max="13315" width="3.28515625" style="1538" customWidth="1"/>
    <col min="13316" max="13316" width="44.42578125" style="1538" customWidth="1"/>
    <col min="13317" max="13317" width="8.42578125" style="1538" customWidth="1"/>
    <col min="13318" max="13319" width="10.7109375" style="1538" customWidth="1"/>
    <col min="13320" max="13320" width="14.7109375" style="1538" customWidth="1"/>
    <col min="13321" max="13321" width="12.5703125" style="1538" customWidth="1"/>
    <col min="13322" max="13322" width="14.5703125" style="1538" customWidth="1"/>
    <col min="13323" max="13568" width="8.7109375" style="1538"/>
    <col min="13569" max="13569" width="2.7109375" style="1538" customWidth="1"/>
    <col min="13570" max="13570" width="3.140625" style="1538" customWidth="1"/>
    <col min="13571" max="13571" width="3.28515625" style="1538" customWidth="1"/>
    <col min="13572" max="13572" width="44.42578125" style="1538" customWidth="1"/>
    <col min="13573" max="13573" width="8.42578125" style="1538" customWidth="1"/>
    <col min="13574" max="13575" width="10.7109375" style="1538" customWidth="1"/>
    <col min="13576" max="13576" width="14.7109375" style="1538" customWidth="1"/>
    <col min="13577" max="13577" width="12.5703125" style="1538" customWidth="1"/>
    <col min="13578" max="13578" width="14.5703125" style="1538" customWidth="1"/>
    <col min="13579" max="13824" width="8.7109375" style="1538"/>
    <col min="13825" max="13825" width="2.7109375" style="1538" customWidth="1"/>
    <col min="13826" max="13826" width="3.140625" style="1538" customWidth="1"/>
    <col min="13827" max="13827" width="3.28515625" style="1538" customWidth="1"/>
    <col min="13828" max="13828" width="44.42578125" style="1538" customWidth="1"/>
    <col min="13829" max="13829" width="8.42578125" style="1538" customWidth="1"/>
    <col min="13830" max="13831" width="10.7109375" style="1538" customWidth="1"/>
    <col min="13832" max="13832" width="14.7109375" style="1538" customWidth="1"/>
    <col min="13833" max="13833" width="12.5703125" style="1538" customWidth="1"/>
    <col min="13834" max="13834" width="14.5703125" style="1538" customWidth="1"/>
    <col min="13835" max="14080" width="8.7109375" style="1538"/>
    <col min="14081" max="14081" width="2.7109375" style="1538" customWidth="1"/>
    <col min="14082" max="14082" width="3.140625" style="1538" customWidth="1"/>
    <col min="14083" max="14083" width="3.28515625" style="1538" customWidth="1"/>
    <col min="14084" max="14084" width="44.42578125" style="1538" customWidth="1"/>
    <col min="14085" max="14085" width="8.42578125" style="1538" customWidth="1"/>
    <col min="14086" max="14087" width="10.7109375" style="1538" customWidth="1"/>
    <col min="14088" max="14088" width="14.7109375" style="1538" customWidth="1"/>
    <col min="14089" max="14089" width="12.5703125" style="1538" customWidth="1"/>
    <col min="14090" max="14090" width="14.5703125" style="1538" customWidth="1"/>
    <col min="14091" max="14336" width="8.7109375" style="1538"/>
    <col min="14337" max="14337" width="2.7109375" style="1538" customWidth="1"/>
    <col min="14338" max="14338" width="3.140625" style="1538" customWidth="1"/>
    <col min="14339" max="14339" width="3.28515625" style="1538" customWidth="1"/>
    <col min="14340" max="14340" width="44.42578125" style="1538" customWidth="1"/>
    <col min="14341" max="14341" width="8.42578125" style="1538" customWidth="1"/>
    <col min="14342" max="14343" width="10.7109375" style="1538" customWidth="1"/>
    <col min="14344" max="14344" width="14.7109375" style="1538" customWidth="1"/>
    <col min="14345" max="14345" width="12.5703125" style="1538" customWidth="1"/>
    <col min="14346" max="14346" width="14.5703125" style="1538" customWidth="1"/>
    <col min="14347" max="14592" width="8.7109375" style="1538"/>
    <col min="14593" max="14593" width="2.7109375" style="1538" customWidth="1"/>
    <col min="14594" max="14594" width="3.140625" style="1538" customWidth="1"/>
    <col min="14595" max="14595" width="3.28515625" style="1538" customWidth="1"/>
    <col min="14596" max="14596" width="44.42578125" style="1538" customWidth="1"/>
    <col min="14597" max="14597" width="8.42578125" style="1538" customWidth="1"/>
    <col min="14598" max="14599" width="10.7109375" style="1538" customWidth="1"/>
    <col min="14600" max="14600" width="14.7109375" style="1538" customWidth="1"/>
    <col min="14601" max="14601" width="12.5703125" style="1538" customWidth="1"/>
    <col min="14602" max="14602" width="14.5703125" style="1538" customWidth="1"/>
    <col min="14603" max="14848" width="8.7109375" style="1538"/>
    <col min="14849" max="14849" width="2.7109375" style="1538" customWidth="1"/>
    <col min="14850" max="14850" width="3.140625" style="1538" customWidth="1"/>
    <col min="14851" max="14851" width="3.28515625" style="1538" customWidth="1"/>
    <col min="14852" max="14852" width="44.42578125" style="1538" customWidth="1"/>
    <col min="14853" max="14853" width="8.42578125" style="1538" customWidth="1"/>
    <col min="14854" max="14855" width="10.7109375" style="1538" customWidth="1"/>
    <col min="14856" max="14856" width="14.7109375" style="1538" customWidth="1"/>
    <col min="14857" max="14857" width="12.5703125" style="1538" customWidth="1"/>
    <col min="14858" max="14858" width="14.5703125" style="1538" customWidth="1"/>
    <col min="14859" max="15104" width="8.7109375" style="1538"/>
    <col min="15105" max="15105" width="2.7109375" style="1538" customWidth="1"/>
    <col min="15106" max="15106" width="3.140625" style="1538" customWidth="1"/>
    <col min="15107" max="15107" width="3.28515625" style="1538" customWidth="1"/>
    <col min="15108" max="15108" width="44.42578125" style="1538" customWidth="1"/>
    <col min="15109" max="15109" width="8.42578125" style="1538" customWidth="1"/>
    <col min="15110" max="15111" width="10.7109375" style="1538" customWidth="1"/>
    <col min="15112" max="15112" width="14.7109375" style="1538" customWidth="1"/>
    <col min="15113" max="15113" width="12.5703125" style="1538" customWidth="1"/>
    <col min="15114" max="15114" width="14.5703125" style="1538" customWidth="1"/>
    <col min="15115" max="15360" width="8.7109375" style="1538"/>
    <col min="15361" max="15361" width="2.7109375" style="1538" customWidth="1"/>
    <col min="15362" max="15362" width="3.140625" style="1538" customWidth="1"/>
    <col min="15363" max="15363" width="3.28515625" style="1538" customWidth="1"/>
    <col min="15364" max="15364" width="44.42578125" style="1538" customWidth="1"/>
    <col min="15365" max="15365" width="8.42578125" style="1538" customWidth="1"/>
    <col min="15366" max="15367" width="10.7109375" style="1538" customWidth="1"/>
    <col min="15368" max="15368" width="14.7109375" style="1538" customWidth="1"/>
    <col min="15369" max="15369" width="12.5703125" style="1538" customWidth="1"/>
    <col min="15370" max="15370" width="14.5703125" style="1538" customWidth="1"/>
    <col min="15371" max="15616" width="8.7109375" style="1538"/>
    <col min="15617" max="15617" width="2.7109375" style="1538" customWidth="1"/>
    <col min="15618" max="15618" width="3.140625" style="1538" customWidth="1"/>
    <col min="15619" max="15619" width="3.28515625" style="1538" customWidth="1"/>
    <col min="15620" max="15620" width="44.42578125" style="1538" customWidth="1"/>
    <col min="15621" max="15621" width="8.42578125" style="1538" customWidth="1"/>
    <col min="15622" max="15623" width="10.7109375" style="1538" customWidth="1"/>
    <col min="15624" max="15624" width="14.7109375" style="1538" customWidth="1"/>
    <col min="15625" max="15625" width="12.5703125" style="1538" customWidth="1"/>
    <col min="15626" max="15626" width="14.5703125" style="1538" customWidth="1"/>
    <col min="15627" max="15872" width="8.7109375" style="1538"/>
    <col min="15873" max="15873" width="2.7109375" style="1538" customWidth="1"/>
    <col min="15874" max="15874" width="3.140625" style="1538" customWidth="1"/>
    <col min="15875" max="15875" width="3.28515625" style="1538" customWidth="1"/>
    <col min="15876" max="15876" width="44.42578125" style="1538" customWidth="1"/>
    <col min="15877" max="15877" width="8.42578125" style="1538" customWidth="1"/>
    <col min="15878" max="15879" width="10.7109375" style="1538" customWidth="1"/>
    <col min="15880" max="15880" width="14.7109375" style="1538" customWidth="1"/>
    <col min="15881" max="15881" width="12.5703125" style="1538" customWidth="1"/>
    <col min="15882" max="15882" width="14.5703125" style="1538" customWidth="1"/>
    <col min="15883" max="16128" width="8.7109375" style="1538"/>
    <col min="16129" max="16129" width="2.7109375" style="1538" customWidth="1"/>
    <col min="16130" max="16130" width="3.140625" style="1538" customWidth="1"/>
    <col min="16131" max="16131" width="3.28515625" style="1538" customWidth="1"/>
    <col min="16132" max="16132" width="44.42578125" style="1538" customWidth="1"/>
    <col min="16133" max="16133" width="8.42578125" style="1538" customWidth="1"/>
    <col min="16134" max="16135" width="10.7109375" style="1538" customWidth="1"/>
    <col min="16136" max="16136" width="14.7109375" style="1538" customWidth="1"/>
    <col min="16137" max="16137" width="12.5703125" style="1538" customWidth="1"/>
    <col min="16138" max="16138" width="14.5703125" style="1538" customWidth="1"/>
    <col min="16139" max="16384" width="8.7109375" style="1538"/>
  </cols>
  <sheetData>
    <row r="1" spans="1:12" s="1515" customFormat="1">
      <c r="A1" s="1583" t="s">
        <v>5492</v>
      </c>
      <c r="B1" s="1514"/>
      <c r="D1" s="1514" t="s">
        <v>4609</v>
      </c>
      <c r="E1" s="1516"/>
      <c r="F1" s="1517"/>
      <c r="G1" s="1448"/>
      <c r="H1" s="1519"/>
      <c r="I1" s="1520"/>
      <c r="J1" s="1521"/>
      <c r="K1" s="1521"/>
      <c r="L1" s="1521"/>
    </row>
    <row r="2" spans="1:12" s="1517" customFormat="1">
      <c r="A2" s="1518"/>
      <c r="B2" s="1518"/>
      <c r="C2" s="1522"/>
      <c r="D2" s="1523"/>
      <c r="E2" s="1519"/>
      <c r="F2" s="1519"/>
      <c r="G2" s="1449"/>
      <c r="H2" s="1519"/>
      <c r="I2" s="1522"/>
      <c r="J2" s="1524"/>
      <c r="K2" s="1524"/>
      <c r="L2" s="1524"/>
    </row>
    <row r="3" spans="1:12" s="1529" customFormat="1" ht="24" customHeight="1">
      <c r="A3" s="1737" t="s">
        <v>2807</v>
      </c>
      <c r="B3" s="1737"/>
      <c r="C3" s="1737"/>
      <c r="D3" s="1526" t="s">
        <v>101</v>
      </c>
      <c r="E3" s="1525" t="s">
        <v>4610</v>
      </c>
      <c r="F3" s="1527" t="s">
        <v>99</v>
      </c>
      <c r="G3" s="1450" t="s">
        <v>4611</v>
      </c>
      <c r="H3" s="1584" t="s">
        <v>4612</v>
      </c>
      <c r="I3" s="1528"/>
      <c r="J3" s="1585"/>
      <c r="K3" s="1586"/>
      <c r="L3" s="1586"/>
    </row>
    <row r="4" spans="1:12" s="1532" customFormat="1">
      <c r="A4" s="1738">
        <v>1</v>
      </c>
      <c r="B4" s="1738"/>
      <c r="C4" s="1738"/>
      <c r="D4" s="1530">
        <v>2</v>
      </c>
      <c r="E4" s="1531">
        <v>3</v>
      </c>
      <c r="F4" s="1531">
        <v>4</v>
      </c>
      <c r="G4" s="1451">
        <v>5</v>
      </c>
      <c r="H4" s="1529" t="s">
        <v>3959</v>
      </c>
    </row>
    <row r="5" spans="1:12">
      <c r="C5" s="1533"/>
      <c r="D5" s="1534"/>
      <c r="E5" s="1535"/>
      <c r="F5" s="1536"/>
      <c r="G5" s="1452"/>
      <c r="H5" s="1587"/>
      <c r="I5" s="1537"/>
      <c r="J5" s="1588"/>
      <c r="K5" s="1589"/>
      <c r="L5" s="1589"/>
    </row>
    <row r="6" spans="1:12" s="1517" customFormat="1">
      <c r="A6" s="1518"/>
      <c r="B6" s="1518"/>
      <c r="C6" s="1522"/>
      <c r="D6" s="1523" t="s">
        <v>4613</v>
      </c>
      <c r="E6" s="1518"/>
      <c r="F6" s="1539"/>
      <c r="G6" s="1454"/>
      <c r="H6" s="1540"/>
      <c r="I6" s="1541"/>
      <c r="J6" s="1542"/>
      <c r="K6" s="1590"/>
    </row>
    <row r="7" spans="1:12" s="1517" customFormat="1" ht="25.5">
      <c r="A7" s="1518"/>
      <c r="B7" s="1518"/>
      <c r="C7" s="1522"/>
      <c r="D7" s="1543" t="s">
        <v>4614</v>
      </c>
      <c r="E7" s="1518"/>
      <c r="F7" s="1539"/>
      <c r="G7" s="1454"/>
      <c r="H7" s="1540"/>
      <c r="I7" s="1541"/>
      <c r="J7" s="1542"/>
      <c r="K7" s="1590"/>
    </row>
    <row r="8" spans="1:12" s="1517" customFormat="1" ht="102">
      <c r="A8" s="1518"/>
      <c r="B8" s="1518"/>
      <c r="C8" s="1522"/>
      <c r="D8" s="1543" t="s">
        <v>4615</v>
      </c>
      <c r="E8" s="1518"/>
      <c r="F8" s="1539"/>
      <c r="G8" s="1454"/>
      <c r="H8" s="1540"/>
      <c r="I8" s="1541"/>
      <c r="J8" s="1542"/>
      <c r="K8" s="1590"/>
    </row>
    <row r="9" spans="1:12" ht="76.5">
      <c r="D9" s="1544" t="s">
        <v>4616</v>
      </c>
    </row>
    <row r="10" spans="1:12" s="1517" customFormat="1" ht="25.5">
      <c r="A10" s="1518"/>
      <c r="B10" s="1549"/>
      <c r="C10" s="1522"/>
      <c r="D10" s="1543" t="s">
        <v>4617</v>
      </c>
      <c r="E10" s="1518"/>
      <c r="F10" s="1539"/>
      <c r="G10" s="1454"/>
      <c r="H10" s="1540"/>
    </row>
    <row r="11" spans="1:12" ht="38.25">
      <c r="D11" s="1543" t="s">
        <v>4618</v>
      </c>
      <c r="E11" s="1518"/>
      <c r="F11" s="1539"/>
      <c r="G11" s="1454"/>
      <c r="H11" s="1540"/>
      <c r="I11" s="1538"/>
      <c r="J11" s="1538"/>
      <c r="K11" s="1538"/>
    </row>
    <row r="12" spans="1:12" ht="76.5">
      <c r="D12" s="1543" t="s">
        <v>4619</v>
      </c>
    </row>
    <row r="13" spans="1:12">
      <c r="D13" s="1523"/>
      <c r="E13" s="1522"/>
      <c r="F13" s="1550"/>
      <c r="G13" s="1458"/>
      <c r="H13" s="1540"/>
      <c r="I13" s="1538"/>
      <c r="J13" s="1538"/>
      <c r="K13" s="1538"/>
    </row>
    <row r="14" spans="1:12" s="1517" customFormat="1">
      <c r="A14" s="1518" t="str">
        <f>A1</f>
        <v>H.</v>
      </c>
      <c r="B14" s="1518" t="s">
        <v>977</v>
      </c>
      <c r="C14" s="1522"/>
      <c r="D14" s="1523" t="s">
        <v>4620</v>
      </c>
      <c r="E14" s="1518"/>
      <c r="F14" s="1539"/>
      <c r="G14" s="1454"/>
      <c r="H14" s="1540"/>
    </row>
    <row r="15" spans="1:12" s="1517" customFormat="1">
      <c r="A15" s="1518"/>
      <c r="B15" s="1518"/>
      <c r="C15" s="1522"/>
      <c r="D15" s="1523"/>
      <c r="E15" s="1518"/>
      <c r="F15" s="1539"/>
      <c r="G15" s="1454"/>
      <c r="H15" s="1540"/>
    </row>
    <row r="16" spans="1:12" s="1517" customFormat="1" ht="25.5">
      <c r="A16" s="1551" t="str">
        <f>A14</f>
        <v>H.</v>
      </c>
      <c r="B16" s="1518" t="str">
        <f>B14</f>
        <v>1.</v>
      </c>
      <c r="C16" s="1514">
        <v>1</v>
      </c>
      <c r="D16" s="1592" t="s">
        <v>4621</v>
      </c>
      <c r="E16" s="1518"/>
      <c r="F16" s="1539"/>
      <c r="G16" s="1454"/>
      <c r="H16" s="1540"/>
    </row>
    <row r="17" spans="1:11" s="1517" customFormat="1">
      <c r="A17" s="1553"/>
      <c r="B17" s="1545"/>
      <c r="C17" s="1516"/>
      <c r="D17" s="1592" t="s">
        <v>258</v>
      </c>
      <c r="E17" s="1518"/>
      <c r="F17" s="1539"/>
      <c r="G17" s="1454"/>
      <c r="H17" s="1540"/>
    </row>
    <row r="18" spans="1:11" s="1517" customFormat="1">
      <c r="A18" s="1553"/>
      <c r="B18" s="1545"/>
      <c r="C18" s="1554" t="s">
        <v>55</v>
      </c>
      <c r="D18" s="1592" t="s">
        <v>4622</v>
      </c>
      <c r="E18" s="1555" t="s">
        <v>2243</v>
      </c>
      <c r="F18" s="1555">
        <v>1</v>
      </c>
      <c r="G18" s="1593"/>
      <c r="H18" s="1556">
        <f t="shared" ref="H18:H26" si="0">SUM(F18*G18)</f>
        <v>0</v>
      </c>
    </row>
    <row r="19" spans="1:11" s="1517" customFormat="1">
      <c r="A19" s="1553"/>
      <c r="B19" s="1545"/>
      <c r="C19" s="1554" t="s">
        <v>54</v>
      </c>
      <c r="D19" s="1592" t="s">
        <v>4623</v>
      </c>
      <c r="E19" s="1555" t="s">
        <v>2243</v>
      </c>
      <c r="F19" s="1555">
        <v>1</v>
      </c>
      <c r="G19" s="1593"/>
      <c r="H19" s="1556">
        <f t="shared" si="0"/>
        <v>0</v>
      </c>
    </row>
    <row r="20" spans="1:11" s="1517" customFormat="1">
      <c r="A20" s="1553"/>
      <c r="B20" s="1545"/>
      <c r="C20" s="1554" t="s">
        <v>53</v>
      </c>
      <c r="D20" s="1592" t="s">
        <v>4624</v>
      </c>
      <c r="E20" s="1555" t="s">
        <v>2243</v>
      </c>
      <c r="F20" s="1555">
        <v>1</v>
      </c>
      <c r="G20" s="1593"/>
      <c r="H20" s="1556">
        <f t="shared" si="0"/>
        <v>0</v>
      </c>
    </row>
    <row r="21" spans="1:11" ht="25.5">
      <c r="C21" s="1554" t="s">
        <v>52</v>
      </c>
      <c r="D21" s="1552" t="s">
        <v>4625</v>
      </c>
      <c r="E21" s="1555" t="s">
        <v>2243</v>
      </c>
      <c r="F21" s="1555">
        <v>1</v>
      </c>
      <c r="G21" s="1593"/>
      <c r="H21" s="1556">
        <f t="shared" si="0"/>
        <v>0</v>
      </c>
    </row>
    <row r="22" spans="1:11" s="1517" customFormat="1">
      <c r="A22" s="1553"/>
      <c r="B22" s="1545"/>
      <c r="C22" s="1554" t="s">
        <v>451</v>
      </c>
      <c r="D22" s="1592" t="s">
        <v>4626</v>
      </c>
      <c r="E22" s="1555" t="s">
        <v>2243</v>
      </c>
      <c r="F22" s="1555">
        <v>1</v>
      </c>
      <c r="G22" s="1593"/>
      <c r="H22" s="1556">
        <f t="shared" si="0"/>
        <v>0</v>
      </c>
    </row>
    <row r="23" spans="1:11" s="1517" customFormat="1" ht="25.5">
      <c r="A23" s="1553"/>
      <c r="B23" s="1545"/>
      <c r="C23" s="1554" t="s">
        <v>4627</v>
      </c>
      <c r="D23" s="1592" t="s">
        <v>4628</v>
      </c>
      <c r="E23" s="1555" t="s">
        <v>2243</v>
      </c>
      <c r="F23" s="1555">
        <v>1</v>
      </c>
      <c r="G23" s="1593"/>
      <c r="H23" s="1556">
        <f t="shared" si="0"/>
        <v>0</v>
      </c>
    </row>
    <row r="24" spans="1:11" s="1517" customFormat="1" ht="25.5">
      <c r="A24" s="1553"/>
      <c r="B24" s="1545"/>
      <c r="C24" s="1554" t="s">
        <v>4629</v>
      </c>
      <c r="D24" s="1592" t="s">
        <v>4630</v>
      </c>
      <c r="E24" s="1555" t="s">
        <v>2243</v>
      </c>
      <c r="F24" s="1555">
        <v>1</v>
      </c>
      <c r="G24" s="1593"/>
      <c r="H24" s="1556">
        <f t="shared" si="0"/>
        <v>0</v>
      </c>
    </row>
    <row r="25" spans="1:11" s="1517" customFormat="1" ht="25.5">
      <c r="A25" s="1553"/>
      <c r="B25" s="1545"/>
      <c r="C25" s="1554" t="s">
        <v>4631</v>
      </c>
      <c r="D25" s="1592" t="s">
        <v>4632</v>
      </c>
      <c r="E25" s="1555" t="s">
        <v>2243</v>
      </c>
      <c r="F25" s="1555">
        <v>1</v>
      </c>
      <c r="G25" s="1593"/>
      <c r="H25" s="1556">
        <f t="shared" si="0"/>
        <v>0</v>
      </c>
    </row>
    <row r="26" spans="1:11" s="1517" customFormat="1" ht="25.5">
      <c r="A26" s="1553"/>
      <c r="B26" s="1545"/>
      <c r="C26" s="1554" t="s">
        <v>4631</v>
      </c>
      <c r="D26" s="1592" t="s">
        <v>4633</v>
      </c>
      <c r="E26" s="1555" t="s">
        <v>2243</v>
      </c>
      <c r="F26" s="1555">
        <v>1</v>
      </c>
      <c r="G26" s="1593"/>
      <c r="H26" s="1556">
        <f t="shared" si="0"/>
        <v>0</v>
      </c>
    </row>
    <row r="27" spans="1:11" s="1517" customFormat="1">
      <c r="A27" s="1553"/>
      <c r="B27" s="1545"/>
      <c r="C27" s="1516"/>
      <c r="D27" s="1592"/>
      <c r="E27" s="1555"/>
      <c r="F27" s="1545"/>
      <c r="G27" s="1459"/>
      <c r="H27" s="1557"/>
    </row>
    <row r="28" spans="1:11" s="1517" customFormat="1">
      <c r="A28" s="1553"/>
      <c r="B28" s="1545"/>
      <c r="C28" s="1516"/>
      <c r="D28" s="1592"/>
      <c r="E28" s="1555"/>
      <c r="F28" s="1545"/>
      <c r="G28" s="1459"/>
      <c r="H28" s="1557"/>
    </row>
    <row r="29" spans="1:11" s="1517" customFormat="1">
      <c r="A29" s="1518" t="str">
        <f>A16</f>
        <v>H.</v>
      </c>
      <c r="B29" s="1518" t="str">
        <f>B16</f>
        <v>1.</v>
      </c>
      <c r="C29" s="1522"/>
      <c r="D29" s="1523" t="str">
        <f>D14</f>
        <v>PRIPREMNI RADOVI</v>
      </c>
      <c r="E29" s="1518"/>
      <c r="F29" s="1539"/>
      <c r="G29" s="1455" t="s">
        <v>2957</v>
      </c>
      <c r="H29" s="1558">
        <f>SUM(H18:H28)</f>
        <v>0</v>
      </c>
    </row>
    <row r="30" spans="1:11" s="1517" customFormat="1">
      <c r="A30" s="1518"/>
      <c r="B30" s="1518"/>
      <c r="C30" s="1522"/>
      <c r="D30" s="1523"/>
      <c r="E30" s="1518"/>
      <c r="F30" s="1539"/>
      <c r="G30" s="1454"/>
      <c r="H30" s="1540"/>
    </row>
    <row r="31" spans="1:11">
      <c r="D31" s="1523"/>
      <c r="E31" s="1522"/>
      <c r="F31" s="1550"/>
      <c r="G31" s="1458"/>
      <c r="H31" s="1540"/>
      <c r="I31" s="1538"/>
      <c r="J31" s="1538"/>
      <c r="K31" s="1538"/>
    </row>
    <row r="32" spans="1:11" s="1517" customFormat="1">
      <c r="A32" s="1518" t="str">
        <f>A1</f>
        <v>H.</v>
      </c>
      <c r="B32" s="1518" t="s">
        <v>978</v>
      </c>
      <c r="C32" s="1522"/>
      <c r="D32" s="1523" t="s">
        <v>4634</v>
      </c>
      <c r="E32" s="1518"/>
      <c r="F32" s="1539"/>
      <c r="G32" s="1454"/>
      <c r="H32" s="1540"/>
    </row>
    <row r="33" spans="1:11" s="1517" customFormat="1">
      <c r="A33" s="1518"/>
      <c r="B33" s="1518"/>
      <c r="C33" s="1522"/>
      <c r="D33" s="1523"/>
      <c r="E33" s="1518"/>
      <c r="F33" s="1539"/>
      <c r="G33" s="1454"/>
      <c r="H33" s="1540"/>
    </row>
    <row r="34" spans="1:11" s="1517" customFormat="1">
      <c r="A34" s="1518"/>
      <c r="B34" s="1518"/>
      <c r="C34" s="1559" t="s">
        <v>4635</v>
      </c>
      <c r="D34" s="1516" t="s">
        <v>4636</v>
      </c>
      <c r="E34" s="1518"/>
      <c r="F34" s="1539"/>
      <c r="G34" s="1454"/>
      <c r="H34" s="1540"/>
    </row>
    <row r="35" spans="1:11" s="1554" customFormat="1" ht="409.5">
      <c r="A35" s="1518" t="str">
        <f>A32</f>
        <v>H.</v>
      </c>
      <c r="B35" s="1518" t="str">
        <f>B32</f>
        <v>2.</v>
      </c>
      <c r="C35" s="1522">
        <v>1</v>
      </c>
      <c r="D35" s="1560" t="s">
        <v>4637</v>
      </c>
      <c r="E35" s="1545"/>
      <c r="F35" s="1545"/>
      <c r="G35" s="1457"/>
      <c r="H35" s="1561"/>
    </row>
    <row r="36" spans="1:11" s="1554" customFormat="1">
      <c r="A36" s="1518"/>
      <c r="B36" s="1518"/>
      <c r="C36" s="1522"/>
      <c r="D36" s="1543" t="s">
        <v>4638</v>
      </c>
      <c r="E36" s="1545"/>
      <c r="F36" s="1545"/>
      <c r="G36" s="1457"/>
      <c r="H36" s="1561"/>
    </row>
    <row r="37" spans="1:11" s="1562" customFormat="1">
      <c r="A37" s="1522"/>
      <c r="B37" s="1522"/>
      <c r="C37" s="1522"/>
      <c r="D37" s="1552" t="s">
        <v>254</v>
      </c>
      <c r="G37" s="1460"/>
      <c r="H37" s="1561"/>
    </row>
    <row r="38" spans="1:11" ht="25.5">
      <c r="C38" s="1522" t="s">
        <v>55</v>
      </c>
      <c r="D38" s="1552" t="s">
        <v>4639</v>
      </c>
      <c r="E38" s="1545" t="s">
        <v>34</v>
      </c>
      <c r="F38" s="1545">
        <v>10</v>
      </c>
      <c r="G38" s="1461"/>
      <c r="H38" s="1557">
        <f>SUM(F38*G38)</f>
        <v>0</v>
      </c>
    </row>
    <row r="39" spans="1:11">
      <c r="F39" s="1545"/>
      <c r="G39" s="1459"/>
      <c r="H39" s="1557"/>
    </row>
    <row r="40" spans="1:11" s="1554" customFormat="1" ht="76.5">
      <c r="A40" s="1518" t="str">
        <f>A35</f>
        <v>H.</v>
      </c>
      <c r="B40" s="1518" t="str">
        <f>B35</f>
        <v>2.</v>
      </c>
      <c r="C40" s="1522">
        <f>C35+1</f>
        <v>2</v>
      </c>
      <c r="D40" s="1560" t="s">
        <v>4640</v>
      </c>
      <c r="E40" s="1545"/>
      <c r="F40" s="1545"/>
      <c r="G40" s="1457"/>
      <c r="H40" s="1561"/>
    </row>
    <row r="41" spans="1:11" s="1554" customFormat="1">
      <c r="A41" s="1518"/>
      <c r="B41" s="1518"/>
      <c r="D41" s="1543" t="s">
        <v>4641</v>
      </c>
      <c r="E41" s="1545"/>
      <c r="F41" s="1545"/>
      <c r="G41" s="1457"/>
      <c r="H41" s="1561"/>
    </row>
    <row r="42" spans="1:11" s="1554" customFormat="1" ht="408">
      <c r="A42" s="1518"/>
      <c r="B42" s="1518"/>
      <c r="C42" s="1522"/>
      <c r="D42" s="1560" t="s">
        <v>4642</v>
      </c>
      <c r="E42" s="1545"/>
      <c r="F42" s="1545"/>
      <c r="G42" s="1457"/>
      <c r="H42" s="1561"/>
    </row>
    <row r="43" spans="1:11" s="1554" customFormat="1">
      <c r="A43" s="1518"/>
      <c r="B43" s="1518"/>
      <c r="C43" s="1522"/>
      <c r="D43" s="1543" t="s">
        <v>4643</v>
      </c>
      <c r="E43" s="1545"/>
      <c r="F43" s="1545"/>
      <c r="G43" s="1457"/>
      <c r="H43" s="1561"/>
    </row>
    <row r="44" spans="1:11" s="1562" customFormat="1">
      <c r="A44" s="1522"/>
      <c r="B44" s="1522"/>
      <c r="C44" s="1522"/>
      <c r="D44" s="1552" t="s">
        <v>254</v>
      </c>
      <c r="G44" s="1460"/>
      <c r="H44" s="1561"/>
    </row>
    <row r="45" spans="1:11" s="1541" customFormat="1" ht="25.5">
      <c r="A45" s="1518"/>
      <c r="B45" s="1518"/>
      <c r="C45" s="1522" t="s">
        <v>55</v>
      </c>
      <c r="D45" s="1552" t="s">
        <v>4639</v>
      </c>
      <c r="E45" s="1545" t="s">
        <v>34</v>
      </c>
      <c r="F45" s="1545">
        <v>18</v>
      </c>
      <c r="G45" s="1461"/>
      <c r="H45" s="1557">
        <f>SUM(F45*G45)</f>
        <v>0</v>
      </c>
      <c r="J45" s="1548"/>
      <c r="K45" s="1591"/>
    </row>
    <row r="46" spans="1:11" s="1541" customFormat="1">
      <c r="A46" s="1518"/>
      <c r="B46" s="1518"/>
      <c r="C46" s="1522"/>
      <c r="D46" s="1552"/>
      <c r="E46" s="1545"/>
      <c r="F46" s="1545"/>
      <c r="G46" s="1459"/>
      <c r="H46" s="1557"/>
      <c r="J46" s="1548"/>
      <c r="K46" s="1591"/>
    </row>
    <row r="47" spans="1:11" s="1541" customFormat="1" ht="76.5">
      <c r="A47" s="1518" t="str">
        <f>A35</f>
        <v>H.</v>
      </c>
      <c r="B47" s="1518" t="str">
        <f>B35</f>
        <v>2.</v>
      </c>
      <c r="C47" s="1522">
        <f>C40+1</f>
        <v>3</v>
      </c>
      <c r="D47" s="1543" t="s">
        <v>4640</v>
      </c>
      <c r="E47" s="1543"/>
      <c r="F47" s="1543"/>
      <c r="G47" s="1459"/>
      <c r="H47" s="1557"/>
      <c r="J47" s="1548"/>
      <c r="K47" s="1591"/>
    </row>
    <row r="48" spans="1:11" s="1554" customFormat="1">
      <c r="A48" s="1518"/>
      <c r="B48" s="1518"/>
      <c r="D48" s="1543" t="s">
        <v>4641</v>
      </c>
      <c r="E48" s="1545"/>
      <c r="F48" s="1545"/>
      <c r="G48" s="1457"/>
      <c r="H48" s="1561"/>
    </row>
    <row r="49" spans="1:11" s="1541" customFormat="1" ht="408">
      <c r="A49" s="1518"/>
      <c r="B49" s="1518"/>
      <c r="C49" s="1522"/>
      <c r="D49" s="1543" t="s">
        <v>4644</v>
      </c>
      <c r="E49" s="1543"/>
      <c r="F49" s="1543"/>
      <c r="G49" s="1459"/>
      <c r="H49" s="1557"/>
      <c r="J49" s="1548"/>
      <c r="K49" s="1591"/>
    </row>
    <row r="50" spans="1:11" s="1541" customFormat="1">
      <c r="A50" s="1518"/>
      <c r="B50" s="1518"/>
      <c r="C50" s="1522"/>
      <c r="D50" s="1543" t="s">
        <v>4645</v>
      </c>
      <c r="E50" s="1543"/>
      <c r="F50" s="1543"/>
      <c r="G50" s="1459"/>
      <c r="H50" s="1557"/>
      <c r="J50" s="1548"/>
      <c r="K50" s="1591"/>
    </row>
    <row r="51" spans="1:11" s="1562" customFormat="1">
      <c r="A51" s="1522"/>
      <c r="B51" s="1522"/>
      <c r="C51" s="1522"/>
      <c r="D51" s="1552" t="s">
        <v>254</v>
      </c>
      <c r="G51" s="1460"/>
      <c r="H51" s="1561"/>
    </row>
    <row r="52" spans="1:11" s="1541" customFormat="1" ht="25.5">
      <c r="A52" s="1518"/>
      <c r="B52" s="1518"/>
      <c r="C52" s="1522" t="s">
        <v>55</v>
      </c>
      <c r="D52" s="1552" t="s">
        <v>4639</v>
      </c>
      <c r="E52" s="1545" t="s">
        <v>34</v>
      </c>
      <c r="F52" s="1545">
        <v>6</v>
      </c>
      <c r="G52" s="1461"/>
      <c r="H52" s="1557">
        <f>SUM(F52*G52)</f>
        <v>0</v>
      </c>
      <c r="J52" s="1548"/>
      <c r="K52" s="1591"/>
    </row>
    <row r="53" spans="1:11" s="1541" customFormat="1">
      <c r="A53" s="1518"/>
      <c r="B53" s="1518"/>
      <c r="C53" s="1522"/>
      <c r="D53" s="1552"/>
      <c r="E53" s="1545"/>
      <c r="F53" s="1545"/>
      <c r="G53" s="1459"/>
      <c r="H53" s="1557"/>
      <c r="J53" s="1548"/>
      <c r="K53" s="1591"/>
    </row>
    <row r="54" spans="1:11" s="1541" customFormat="1" ht="76.5">
      <c r="A54" s="1518" t="str">
        <f>A35</f>
        <v>H.</v>
      </c>
      <c r="B54" s="1518" t="str">
        <f>B35</f>
        <v>2.</v>
      </c>
      <c r="C54" s="1522">
        <f>C47+1</f>
        <v>4</v>
      </c>
      <c r="D54" s="1543" t="s">
        <v>4640</v>
      </c>
      <c r="E54" s="1543"/>
      <c r="F54" s="1543"/>
      <c r="G54" s="1459"/>
      <c r="H54" s="1557"/>
      <c r="J54" s="1548"/>
      <c r="K54" s="1591"/>
    </row>
    <row r="55" spans="1:11" s="1554" customFormat="1">
      <c r="A55" s="1518"/>
      <c r="B55" s="1518"/>
      <c r="D55" s="1543" t="s">
        <v>4641</v>
      </c>
      <c r="E55" s="1545"/>
      <c r="F55" s="1545"/>
      <c r="G55" s="1457"/>
      <c r="H55" s="1561"/>
    </row>
    <row r="56" spans="1:11" s="1541" customFormat="1" ht="344.25">
      <c r="A56" s="1518"/>
      <c r="B56" s="1518"/>
      <c r="C56" s="1522"/>
      <c r="D56" s="1543" t="s">
        <v>4646</v>
      </c>
      <c r="E56" s="1543"/>
      <c r="F56" s="1543"/>
      <c r="G56" s="1459"/>
      <c r="H56" s="1557"/>
      <c r="J56" s="1548"/>
      <c r="K56" s="1591"/>
    </row>
    <row r="57" spans="1:11" s="1541" customFormat="1">
      <c r="A57" s="1518"/>
      <c r="B57" s="1518"/>
      <c r="C57" s="1522"/>
      <c r="D57" s="1543" t="s">
        <v>4647</v>
      </c>
      <c r="E57" s="1543"/>
      <c r="F57" s="1543"/>
      <c r="G57" s="1459"/>
      <c r="H57" s="1557"/>
      <c r="J57" s="1548"/>
      <c r="K57" s="1591"/>
    </row>
    <row r="58" spans="1:11" s="1562" customFormat="1">
      <c r="A58" s="1522"/>
      <c r="B58" s="1522"/>
      <c r="C58" s="1522"/>
      <c r="D58" s="1552" t="s">
        <v>254</v>
      </c>
      <c r="G58" s="1460"/>
      <c r="H58" s="1561"/>
    </row>
    <row r="59" spans="1:11" s="1541" customFormat="1" ht="25.5">
      <c r="A59" s="1518"/>
      <c r="B59" s="1518"/>
      <c r="C59" s="1522" t="s">
        <v>55</v>
      </c>
      <c r="D59" s="1543" t="s">
        <v>4639</v>
      </c>
      <c r="E59" s="1545" t="s">
        <v>34</v>
      </c>
      <c r="F59" s="1545">
        <v>4</v>
      </c>
      <c r="G59" s="1461"/>
      <c r="H59" s="1557">
        <f>SUM(F59*G59)</f>
        <v>0</v>
      </c>
      <c r="J59" s="1548"/>
      <c r="K59" s="1591"/>
    </row>
    <row r="60" spans="1:11" s="1541" customFormat="1">
      <c r="A60" s="1518"/>
      <c r="B60" s="1518"/>
      <c r="C60" s="1522"/>
      <c r="D60" s="1543"/>
      <c r="E60" s="1545"/>
      <c r="F60" s="1545"/>
      <c r="G60" s="1459"/>
      <c r="H60" s="1557"/>
      <c r="J60" s="1548"/>
      <c r="K60" s="1591"/>
    </row>
    <row r="61" spans="1:11" s="1541" customFormat="1" ht="51">
      <c r="A61" s="1518" t="str">
        <f>A35</f>
        <v>H.</v>
      </c>
      <c r="B61" s="1518" t="str">
        <f>B35</f>
        <v>2.</v>
      </c>
      <c r="C61" s="1522">
        <f>C54+1</f>
        <v>5</v>
      </c>
      <c r="D61" s="1554" t="s">
        <v>4648</v>
      </c>
      <c r="E61" s="1545"/>
      <c r="F61" s="1594"/>
      <c r="G61" s="1459"/>
      <c r="H61" s="1557"/>
      <c r="J61" s="1548"/>
      <c r="K61" s="1591"/>
    </row>
    <row r="62" spans="1:11" s="1554" customFormat="1">
      <c r="A62" s="1518"/>
      <c r="B62" s="1518"/>
      <c r="D62" s="1543" t="s">
        <v>4641</v>
      </c>
      <c r="E62" s="1545"/>
      <c r="F62" s="1545"/>
      <c r="G62" s="1457"/>
      <c r="H62" s="1561"/>
    </row>
    <row r="63" spans="1:11" s="1541" customFormat="1" ht="216.75">
      <c r="A63" s="1518"/>
      <c r="B63" s="1518"/>
      <c r="C63" s="1522"/>
      <c r="D63" s="1554" t="s">
        <v>4649</v>
      </c>
      <c r="E63" s="1545"/>
      <c r="F63" s="1594"/>
      <c r="G63" s="1459"/>
      <c r="H63" s="1557"/>
      <c r="J63" s="1548"/>
      <c r="K63" s="1591"/>
    </row>
    <row r="64" spans="1:11" s="1541" customFormat="1">
      <c r="A64" s="1518"/>
      <c r="B64" s="1518"/>
      <c r="C64" s="1522"/>
      <c r="D64" s="1543" t="s">
        <v>4650</v>
      </c>
      <c r="E64" s="1545"/>
      <c r="F64" s="1594"/>
      <c r="G64" s="1459"/>
      <c r="H64" s="1557"/>
      <c r="J64" s="1548"/>
      <c r="K64" s="1591"/>
    </row>
    <row r="65" spans="1:11" s="1562" customFormat="1">
      <c r="A65" s="1522"/>
      <c r="B65" s="1522"/>
      <c r="C65" s="1522"/>
      <c r="D65" s="1552" t="s">
        <v>254</v>
      </c>
      <c r="G65" s="1460"/>
      <c r="H65" s="1561"/>
    </row>
    <row r="66" spans="1:11" s="1541" customFormat="1">
      <c r="A66" s="1518"/>
      <c r="B66" s="1518"/>
      <c r="C66" s="1522" t="s">
        <v>55</v>
      </c>
      <c r="D66" s="1543" t="s">
        <v>4651</v>
      </c>
      <c r="E66" s="1545" t="s">
        <v>34</v>
      </c>
      <c r="F66" s="1545">
        <v>1</v>
      </c>
      <c r="G66" s="1461"/>
      <c r="H66" s="1557">
        <f>SUM(F66*G66)</f>
        <v>0</v>
      </c>
      <c r="J66" s="1548"/>
      <c r="K66" s="1591"/>
    </row>
    <row r="67" spans="1:11" s="1541" customFormat="1">
      <c r="A67" s="1518"/>
      <c r="B67" s="1518"/>
      <c r="C67" s="1522"/>
      <c r="D67" s="1554"/>
      <c r="E67" s="1545"/>
      <c r="F67" s="1594"/>
      <c r="G67" s="1459"/>
      <c r="H67" s="1557"/>
      <c r="J67" s="1548"/>
      <c r="K67" s="1591"/>
    </row>
    <row r="68" spans="1:11" s="1541" customFormat="1" ht="51">
      <c r="A68" s="1518" t="str">
        <f>A35</f>
        <v>H.</v>
      </c>
      <c r="B68" s="1518" t="str">
        <f>B35</f>
        <v>2.</v>
      </c>
      <c r="C68" s="1522">
        <f>C61+1</f>
        <v>6</v>
      </c>
      <c r="D68" s="1554" t="s">
        <v>4652</v>
      </c>
      <c r="E68" s="1545"/>
      <c r="F68" s="1594"/>
      <c r="G68" s="1459"/>
      <c r="H68" s="1557"/>
      <c r="J68" s="1548"/>
      <c r="K68" s="1591"/>
    </row>
    <row r="69" spans="1:11" s="1554" customFormat="1">
      <c r="A69" s="1518"/>
      <c r="B69" s="1518"/>
      <c r="D69" s="1543" t="s">
        <v>4641</v>
      </c>
      <c r="E69" s="1545"/>
      <c r="F69" s="1545"/>
      <c r="G69" s="1457"/>
      <c r="H69" s="1561"/>
    </row>
    <row r="70" spans="1:11" s="1541" customFormat="1" ht="229.5">
      <c r="A70" s="1518"/>
      <c r="B70" s="1518"/>
      <c r="C70" s="1522"/>
      <c r="D70" s="1554" t="s">
        <v>4653</v>
      </c>
      <c r="E70" s="1545"/>
      <c r="F70" s="1594"/>
      <c r="G70" s="1459"/>
      <c r="H70" s="1557"/>
      <c r="J70" s="1548"/>
      <c r="K70" s="1591"/>
    </row>
    <row r="71" spans="1:11" s="1541" customFormat="1">
      <c r="A71" s="1518"/>
      <c r="B71" s="1518"/>
      <c r="C71" s="1522"/>
      <c r="D71" s="1543" t="s">
        <v>4654</v>
      </c>
      <c r="E71" s="1545"/>
      <c r="F71" s="1594"/>
      <c r="G71" s="1459"/>
      <c r="H71" s="1557"/>
      <c r="J71" s="1548"/>
      <c r="K71" s="1591"/>
    </row>
    <row r="72" spans="1:11" s="1562" customFormat="1">
      <c r="A72" s="1522"/>
      <c r="B72" s="1522"/>
      <c r="C72" s="1522"/>
      <c r="D72" s="1552" t="s">
        <v>254</v>
      </c>
      <c r="G72" s="1460"/>
      <c r="H72" s="1561"/>
    </row>
    <row r="73" spans="1:11" s="1541" customFormat="1">
      <c r="A73" s="1518"/>
      <c r="B73" s="1518"/>
      <c r="C73" s="1522" t="s">
        <v>55</v>
      </c>
      <c r="D73" s="1554" t="s">
        <v>4655</v>
      </c>
      <c r="E73" s="1545" t="s">
        <v>34</v>
      </c>
      <c r="F73" s="1545">
        <v>43</v>
      </c>
      <c r="G73" s="1461"/>
      <c r="H73" s="1557">
        <f>SUM(F73*G73)</f>
        <v>0</v>
      </c>
      <c r="J73" s="1548"/>
      <c r="K73" s="1591"/>
    </row>
    <row r="74" spans="1:11" s="1541" customFormat="1">
      <c r="A74" s="1518"/>
      <c r="B74" s="1518"/>
      <c r="C74" s="1522"/>
      <c r="D74" s="1554"/>
      <c r="E74" s="1545"/>
      <c r="F74" s="1594"/>
      <c r="G74" s="1459"/>
      <c r="H74" s="1557"/>
      <c r="J74" s="1548"/>
      <c r="K74" s="1591"/>
    </row>
    <row r="75" spans="1:11" s="1541" customFormat="1" ht="63.75">
      <c r="A75" s="1518" t="str">
        <f>A35</f>
        <v>H.</v>
      </c>
      <c r="B75" s="1518" t="str">
        <f>B35</f>
        <v>2.</v>
      </c>
      <c r="C75" s="1522">
        <f>C68+1</f>
        <v>7</v>
      </c>
      <c r="D75" s="1554" t="s">
        <v>4656</v>
      </c>
      <c r="E75" s="1545"/>
      <c r="F75" s="1594"/>
      <c r="G75" s="1459"/>
      <c r="H75" s="1557"/>
      <c r="J75" s="1548"/>
      <c r="K75" s="1591"/>
    </row>
    <row r="76" spans="1:11" s="1554" customFormat="1">
      <c r="A76" s="1518"/>
      <c r="B76" s="1518"/>
      <c r="D76" s="1543" t="s">
        <v>4641</v>
      </c>
      <c r="E76" s="1545"/>
      <c r="F76" s="1545"/>
      <c r="G76" s="1457"/>
      <c r="H76" s="1561"/>
    </row>
    <row r="77" spans="1:11" s="1541" customFormat="1" ht="318.75">
      <c r="A77" s="1518"/>
      <c r="B77" s="1518"/>
      <c r="C77" s="1522"/>
      <c r="D77" s="1554" t="s">
        <v>4657</v>
      </c>
      <c r="E77" s="1545"/>
      <c r="F77" s="1594"/>
      <c r="G77" s="1459"/>
      <c r="H77" s="1557"/>
      <c r="J77" s="1548"/>
      <c r="K77" s="1591"/>
    </row>
    <row r="78" spans="1:11" s="1541" customFormat="1">
      <c r="A78" s="1518"/>
      <c r="B78" s="1518"/>
      <c r="C78" s="1522"/>
      <c r="D78" s="1543" t="s">
        <v>4658</v>
      </c>
      <c r="E78" s="1545"/>
      <c r="F78" s="1594"/>
      <c r="G78" s="1459"/>
      <c r="H78" s="1557"/>
      <c r="J78" s="1548"/>
      <c r="K78" s="1591"/>
    </row>
    <row r="79" spans="1:11" s="1562" customFormat="1">
      <c r="A79" s="1522"/>
      <c r="B79" s="1522"/>
      <c r="C79" s="1522"/>
      <c r="D79" s="1552" t="s">
        <v>254</v>
      </c>
      <c r="G79" s="1460"/>
      <c r="H79" s="1561"/>
    </row>
    <row r="80" spans="1:11" s="1541" customFormat="1" ht="25.5">
      <c r="A80" s="1518"/>
      <c r="B80" s="1518"/>
      <c r="C80" s="1522" t="s">
        <v>55</v>
      </c>
      <c r="D80" s="1554" t="s">
        <v>4639</v>
      </c>
      <c r="E80" s="1545" t="s">
        <v>34</v>
      </c>
      <c r="F80" s="1545">
        <v>4</v>
      </c>
      <c r="G80" s="1461"/>
      <c r="H80" s="1557">
        <f>SUM(F80*G80)</f>
        <v>0</v>
      </c>
      <c r="J80" s="1548"/>
      <c r="K80" s="1591"/>
    </row>
    <row r="81" spans="1:11" s="1541" customFormat="1">
      <c r="A81" s="1518"/>
      <c r="B81" s="1518"/>
      <c r="C81" s="1522"/>
      <c r="D81" s="1554"/>
      <c r="E81" s="1545"/>
      <c r="F81" s="1594"/>
      <c r="G81" s="1459"/>
      <c r="H81" s="1557"/>
      <c r="J81" s="1548"/>
      <c r="K81" s="1591"/>
    </row>
    <row r="82" spans="1:11" s="1541" customFormat="1" ht="63.75">
      <c r="A82" s="1518" t="str">
        <f>A35</f>
        <v>H.</v>
      </c>
      <c r="B82" s="1518" t="str">
        <f>B35</f>
        <v>2.</v>
      </c>
      <c r="C82" s="1522">
        <f>C75+1</f>
        <v>8</v>
      </c>
      <c r="D82" s="1554" t="s">
        <v>4656</v>
      </c>
      <c r="E82" s="1545"/>
      <c r="F82" s="1594"/>
      <c r="G82" s="1459"/>
      <c r="H82" s="1557"/>
      <c r="J82" s="1548"/>
      <c r="K82" s="1591"/>
    </row>
    <row r="83" spans="1:11" s="1554" customFormat="1">
      <c r="A83" s="1518"/>
      <c r="B83" s="1518"/>
      <c r="D83" s="1543" t="s">
        <v>4641</v>
      </c>
      <c r="E83" s="1545"/>
      <c r="F83" s="1545"/>
      <c r="G83" s="1457"/>
      <c r="H83" s="1561"/>
    </row>
    <row r="84" spans="1:11" s="1541" customFormat="1" ht="369.75">
      <c r="A84" s="1518"/>
      <c r="B84" s="1518"/>
      <c r="C84" s="1522"/>
      <c r="D84" s="1554" t="s">
        <v>4659</v>
      </c>
      <c r="E84" s="1545"/>
      <c r="F84" s="1594"/>
      <c r="G84" s="1459"/>
      <c r="H84" s="1557"/>
      <c r="J84" s="1548"/>
      <c r="K84" s="1591"/>
    </row>
    <row r="85" spans="1:11" s="1554" customFormat="1">
      <c r="A85" s="1518"/>
      <c r="B85" s="1518"/>
      <c r="C85" s="1522"/>
      <c r="D85" s="1543" t="s">
        <v>4660</v>
      </c>
      <c r="E85" s="1545"/>
      <c r="F85" s="1545"/>
      <c r="G85" s="1457"/>
      <c r="H85" s="1561"/>
    </row>
    <row r="86" spans="1:11" s="1562" customFormat="1">
      <c r="A86" s="1522"/>
      <c r="B86" s="1522"/>
      <c r="C86" s="1522"/>
      <c r="D86" s="1552" t="s">
        <v>254</v>
      </c>
      <c r="G86" s="1460"/>
      <c r="H86" s="1561"/>
    </row>
    <row r="87" spans="1:11" s="1541" customFormat="1" ht="25.5">
      <c r="A87" s="1518"/>
      <c r="B87" s="1518"/>
      <c r="C87" s="1522" t="s">
        <v>55</v>
      </c>
      <c r="D87" s="1554" t="s">
        <v>4639</v>
      </c>
      <c r="E87" s="1545" t="s">
        <v>34</v>
      </c>
      <c r="F87" s="1545">
        <v>66</v>
      </c>
      <c r="G87" s="1461"/>
      <c r="H87" s="1557">
        <f>SUM(F87*G87)</f>
        <v>0</v>
      </c>
      <c r="J87" s="1548"/>
      <c r="K87" s="1591"/>
    </row>
    <row r="88" spans="1:11" s="1541" customFormat="1">
      <c r="A88" s="1518"/>
      <c r="B88" s="1518"/>
      <c r="C88" s="1522"/>
      <c r="D88" s="1554"/>
      <c r="E88" s="1545"/>
      <c r="F88" s="1594"/>
      <c r="G88" s="1459"/>
      <c r="H88" s="1557"/>
      <c r="J88" s="1548"/>
      <c r="K88" s="1591"/>
    </row>
    <row r="89" spans="1:11" s="1541" customFormat="1" ht="63.75">
      <c r="A89" s="1518" t="str">
        <f>A35</f>
        <v>H.</v>
      </c>
      <c r="B89" s="1518" t="str">
        <f>B35</f>
        <v>2.</v>
      </c>
      <c r="C89" s="1522">
        <f>C82+1</f>
        <v>9</v>
      </c>
      <c r="D89" s="1554" t="s">
        <v>4656</v>
      </c>
      <c r="E89" s="1545"/>
      <c r="F89" s="1594"/>
      <c r="G89" s="1459"/>
      <c r="H89" s="1557"/>
      <c r="J89" s="1548"/>
      <c r="K89" s="1591"/>
    </row>
    <row r="90" spans="1:11" s="1554" customFormat="1">
      <c r="A90" s="1518"/>
      <c r="B90" s="1518"/>
      <c r="D90" s="1543" t="s">
        <v>4641</v>
      </c>
      <c r="E90" s="1545"/>
      <c r="F90" s="1545"/>
      <c r="G90" s="1457"/>
      <c r="H90" s="1561"/>
    </row>
    <row r="91" spans="1:11" s="1541" customFormat="1" ht="331.5">
      <c r="A91" s="1518"/>
      <c r="B91" s="1518"/>
      <c r="C91" s="1522"/>
      <c r="D91" s="1543" t="s">
        <v>4661</v>
      </c>
      <c r="E91" s="1545"/>
      <c r="F91" s="1594"/>
      <c r="G91" s="1459"/>
      <c r="H91" s="1557"/>
      <c r="J91" s="1548"/>
      <c r="K91" s="1591"/>
    </row>
    <row r="92" spans="1:11" s="1554" customFormat="1">
      <c r="A92" s="1518"/>
      <c r="B92" s="1518"/>
      <c r="C92" s="1522"/>
      <c r="D92" s="1543" t="s">
        <v>4662</v>
      </c>
      <c r="E92" s="1545"/>
      <c r="F92" s="1545"/>
      <c r="G92" s="1457"/>
      <c r="H92" s="1561"/>
    </row>
    <row r="93" spans="1:11" s="1562" customFormat="1">
      <c r="A93" s="1522"/>
      <c r="B93" s="1522"/>
      <c r="C93" s="1522"/>
      <c r="D93" s="1552" t="s">
        <v>254</v>
      </c>
      <c r="G93" s="1460"/>
      <c r="H93" s="1561"/>
    </row>
    <row r="94" spans="1:11" s="1541" customFormat="1" ht="25.5">
      <c r="A94" s="1518"/>
      <c r="B94" s="1518"/>
      <c r="C94" s="1522" t="s">
        <v>55</v>
      </c>
      <c r="D94" s="1554" t="s">
        <v>4639</v>
      </c>
      <c r="E94" s="1545" t="s">
        <v>34</v>
      </c>
      <c r="F94" s="1545">
        <v>289</v>
      </c>
      <c r="G94" s="1461"/>
      <c r="H94" s="1557">
        <f>SUM(F94*G94)</f>
        <v>0</v>
      </c>
      <c r="J94" s="1548"/>
      <c r="K94" s="1591"/>
    </row>
    <row r="95" spans="1:11" s="1541" customFormat="1">
      <c r="A95" s="1518"/>
      <c r="B95" s="1518"/>
      <c r="C95" s="1522"/>
      <c r="D95" s="1554"/>
      <c r="E95" s="1545"/>
      <c r="F95" s="1594"/>
      <c r="G95" s="1459"/>
      <c r="H95" s="1557"/>
      <c r="J95" s="1548"/>
      <c r="K95" s="1591"/>
    </row>
    <row r="96" spans="1:11" s="1541" customFormat="1" ht="63.75">
      <c r="A96" s="1518" t="str">
        <f>A35</f>
        <v>H.</v>
      </c>
      <c r="B96" s="1518" t="str">
        <f>B35</f>
        <v>2.</v>
      </c>
      <c r="C96" s="1522">
        <f>C89+1</f>
        <v>10</v>
      </c>
      <c r="D96" s="1554" t="s">
        <v>4656</v>
      </c>
      <c r="E96" s="1545"/>
      <c r="F96" s="1594"/>
      <c r="G96" s="1459"/>
      <c r="H96" s="1557"/>
      <c r="J96" s="1548"/>
      <c r="K96" s="1591"/>
    </row>
    <row r="97" spans="1:11" s="1554" customFormat="1">
      <c r="A97" s="1518"/>
      <c r="B97" s="1518"/>
      <c r="D97" s="1543" t="s">
        <v>4641</v>
      </c>
      <c r="E97" s="1545"/>
      <c r="F97" s="1545"/>
      <c r="G97" s="1457"/>
      <c r="H97" s="1561"/>
    </row>
    <row r="98" spans="1:11" s="1541" customFormat="1" ht="331.5">
      <c r="A98" s="1518"/>
      <c r="B98" s="1518"/>
      <c r="C98" s="1522"/>
      <c r="D98" s="1554" t="s">
        <v>4663</v>
      </c>
      <c r="E98" s="1545"/>
      <c r="F98" s="1594"/>
      <c r="G98" s="1459"/>
      <c r="H98" s="1557"/>
      <c r="J98" s="1548"/>
      <c r="K98" s="1591"/>
    </row>
    <row r="99" spans="1:11" s="1554" customFormat="1">
      <c r="A99" s="1518"/>
      <c r="B99" s="1518"/>
      <c r="C99" s="1522"/>
      <c r="D99" s="1543" t="s">
        <v>4664</v>
      </c>
      <c r="E99" s="1545"/>
      <c r="F99" s="1545"/>
      <c r="G99" s="1457"/>
      <c r="H99" s="1561"/>
    </row>
    <row r="100" spans="1:11" s="1562" customFormat="1">
      <c r="A100" s="1522"/>
      <c r="B100" s="1522"/>
      <c r="C100" s="1522"/>
      <c r="D100" s="1552" t="s">
        <v>254</v>
      </c>
      <c r="G100" s="1460"/>
      <c r="H100" s="1561"/>
    </row>
    <row r="101" spans="1:11" s="1541" customFormat="1" ht="25.5">
      <c r="A101" s="1518"/>
      <c r="B101" s="1518"/>
      <c r="C101" s="1522" t="s">
        <v>55</v>
      </c>
      <c r="D101" s="1554" t="s">
        <v>4639</v>
      </c>
      <c r="E101" s="1545" t="s">
        <v>34</v>
      </c>
      <c r="F101" s="1545">
        <v>88</v>
      </c>
      <c r="G101" s="1461"/>
      <c r="H101" s="1557">
        <f>SUM(F101*G101)</f>
        <v>0</v>
      </c>
      <c r="J101" s="1548"/>
      <c r="K101" s="1591"/>
    </row>
    <row r="102" spans="1:11" s="1541" customFormat="1">
      <c r="A102" s="1518"/>
      <c r="B102" s="1518"/>
      <c r="C102" s="1522"/>
      <c r="D102" s="1554"/>
      <c r="E102" s="1545"/>
      <c r="F102" s="1594"/>
      <c r="G102" s="1459"/>
      <c r="H102" s="1557"/>
      <c r="J102" s="1548"/>
      <c r="K102" s="1591"/>
    </row>
    <row r="103" spans="1:11" s="1541" customFormat="1" ht="63.75">
      <c r="A103" s="1518" t="str">
        <f>A35</f>
        <v>H.</v>
      </c>
      <c r="B103" s="1518" t="str">
        <f>B35</f>
        <v>2.</v>
      </c>
      <c r="C103" s="1522">
        <f>C96+1</f>
        <v>11</v>
      </c>
      <c r="D103" s="1554" t="s">
        <v>4665</v>
      </c>
      <c r="E103" s="1545"/>
      <c r="F103" s="1594"/>
      <c r="G103" s="1459"/>
      <c r="H103" s="1557"/>
      <c r="J103" s="1548"/>
      <c r="K103" s="1591"/>
    </row>
    <row r="104" spans="1:11" s="1554" customFormat="1">
      <c r="A104" s="1518"/>
      <c r="B104" s="1518"/>
      <c r="D104" s="1543" t="s">
        <v>4641</v>
      </c>
      <c r="E104" s="1545"/>
      <c r="F104" s="1545"/>
      <c r="G104" s="1457"/>
      <c r="H104" s="1561"/>
    </row>
    <row r="105" spans="1:11" s="1541" customFormat="1" ht="267.75">
      <c r="A105" s="1518"/>
      <c r="B105" s="1518"/>
      <c r="C105" s="1522"/>
      <c r="D105" s="1554" t="s">
        <v>4666</v>
      </c>
      <c r="E105" s="1545"/>
      <c r="F105" s="1594"/>
      <c r="G105" s="1459"/>
      <c r="H105" s="1557"/>
      <c r="J105" s="1548"/>
      <c r="K105" s="1591"/>
    </row>
    <row r="106" spans="1:11" s="1554" customFormat="1">
      <c r="A106" s="1518"/>
      <c r="B106" s="1518"/>
      <c r="C106" s="1522"/>
      <c r="D106" s="1543" t="s">
        <v>4667</v>
      </c>
      <c r="E106" s="1545"/>
      <c r="F106" s="1545"/>
      <c r="G106" s="1457"/>
      <c r="H106" s="1561"/>
    </row>
    <row r="107" spans="1:11" s="1562" customFormat="1">
      <c r="A107" s="1522"/>
      <c r="B107" s="1522"/>
      <c r="C107" s="1522"/>
      <c r="D107" s="1552" t="s">
        <v>254</v>
      </c>
      <c r="G107" s="1460"/>
      <c r="H107" s="1561"/>
    </row>
    <row r="108" spans="1:11" s="1541" customFormat="1">
      <c r="A108" s="1518"/>
      <c r="B108" s="1518"/>
      <c r="C108" s="1522" t="s">
        <v>55</v>
      </c>
      <c r="D108" s="1554" t="s">
        <v>4668</v>
      </c>
      <c r="E108" s="1545" t="s">
        <v>34</v>
      </c>
      <c r="F108" s="1545">
        <v>51</v>
      </c>
      <c r="G108" s="1461"/>
      <c r="H108" s="1557">
        <f>SUM(F108*G108)</f>
        <v>0</v>
      </c>
      <c r="J108" s="1548"/>
      <c r="K108" s="1591"/>
    </row>
    <row r="109" spans="1:11" s="1541" customFormat="1">
      <c r="A109" s="1518"/>
      <c r="B109" s="1518"/>
      <c r="C109" s="1522"/>
      <c r="D109" s="1554"/>
      <c r="E109" s="1545"/>
      <c r="F109" s="1594"/>
      <c r="G109" s="1459"/>
      <c r="H109" s="1557"/>
      <c r="J109" s="1548"/>
      <c r="K109" s="1591"/>
    </row>
    <row r="110" spans="1:11" s="1541" customFormat="1" ht="102">
      <c r="A110" s="1518" t="str">
        <f>A35</f>
        <v>H.</v>
      </c>
      <c r="B110" s="1518" t="str">
        <f>B35</f>
        <v>2.</v>
      </c>
      <c r="C110" s="1522">
        <f>C103+1</f>
        <v>12</v>
      </c>
      <c r="D110" s="1554" t="s">
        <v>4669</v>
      </c>
      <c r="E110" s="1545"/>
      <c r="F110" s="1594"/>
      <c r="G110" s="1459"/>
      <c r="H110" s="1557"/>
      <c r="J110" s="1548"/>
      <c r="K110" s="1591"/>
    </row>
    <row r="111" spans="1:11" s="1554" customFormat="1">
      <c r="A111" s="1518"/>
      <c r="B111" s="1518"/>
      <c r="D111" s="1543" t="s">
        <v>4641</v>
      </c>
      <c r="E111" s="1545"/>
      <c r="F111" s="1545"/>
      <c r="G111" s="1457"/>
      <c r="H111" s="1561"/>
    </row>
    <row r="112" spans="1:11" s="1541" customFormat="1" ht="178.5">
      <c r="A112" s="1518"/>
      <c r="B112" s="1518"/>
      <c r="C112" s="1522"/>
      <c r="D112" s="1554" t="s">
        <v>4670</v>
      </c>
      <c r="E112" s="1545"/>
      <c r="F112" s="1594"/>
      <c r="G112" s="1459"/>
      <c r="H112" s="1557"/>
      <c r="J112" s="1548"/>
      <c r="K112" s="1591"/>
    </row>
    <row r="113" spans="1:11" s="1554" customFormat="1">
      <c r="A113" s="1518"/>
      <c r="B113" s="1518"/>
      <c r="C113" s="1522"/>
      <c r="D113" s="1543" t="s">
        <v>4671</v>
      </c>
      <c r="E113" s="1545"/>
      <c r="F113" s="1545"/>
      <c r="G113" s="1457"/>
      <c r="H113" s="1561"/>
    </row>
    <row r="114" spans="1:11" s="1562" customFormat="1">
      <c r="A114" s="1522"/>
      <c r="B114" s="1522"/>
      <c r="C114" s="1522"/>
      <c r="D114" s="1552" t="s">
        <v>254</v>
      </c>
      <c r="G114" s="1460"/>
      <c r="H114" s="1561"/>
    </row>
    <row r="115" spans="1:11" s="1541" customFormat="1">
      <c r="A115" s="1518"/>
      <c r="B115" s="1518"/>
      <c r="C115" s="1522" t="s">
        <v>55</v>
      </c>
      <c r="D115" s="1554" t="s">
        <v>4672</v>
      </c>
      <c r="E115" s="1545" t="s">
        <v>34</v>
      </c>
      <c r="F115" s="1545">
        <v>57</v>
      </c>
      <c r="G115" s="1461"/>
      <c r="H115" s="1557">
        <f>SUM(F115*G115)</f>
        <v>0</v>
      </c>
      <c r="J115" s="1548"/>
      <c r="K115" s="1591"/>
    </row>
    <row r="116" spans="1:11" s="1541" customFormat="1">
      <c r="A116" s="1518"/>
      <c r="B116" s="1518"/>
      <c r="C116" s="1522"/>
      <c r="D116" s="1554"/>
      <c r="E116" s="1545"/>
      <c r="F116" s="1594"/>
      <c r="G116" s="1459"/>
      <c r="H116" s="1557"/>
      <c r="J116" s="1548"/>
      <c r="K116" s="1591"/>
    </row>
    <row r="117" spans="1:11" s="1541" customFormat="1" ht="140.25">
      <c r="A117" s="1518" t="str">
        <f>A35</f>
        <v>H.</v>
      </c>
      <c r="B117" s="1518" t="str">
        <f>B35</f>
        <v>2.</v>
      </c>
      <c r="C117" s="1522">
        <f>C110+1</f>
        <v>13</v>
      </c>
      <c r="D117" s="1554" t="s">
        <v>4673</v>
      </c>
      <c r="E117" s="1545"/>
      <c r="F117" s="1594"/>
      <c r="G117" s="1459"/>
      <c r="H117" s="1557"/>
      <c r="J117" s="1548"/>
      <c r="K117" s="1591"/>
    </row>
    <row r="118" spans="1:11" s="1554" customFormat="1">
      <c r="A118" s="1518"/>
      <c r="B118" s="1518"/>
      <c r="D118" s="1543" t="s">
        <v>4641</v>
      </c>
      <c r="E118" s="1545"/>
      <c r="F118" s="1545"/>
      <c r="G118" s="1457"/>
      <c r="H118" s="1561"/>
    </row>
    <row r="119" spans="1:11" s="1541" customFormat="1" ht="153">
      <c r="A119" s="1518"/>
      <c r="B119" s="1518"/>
      <c r="C119" s="1522"/>
      <c r="D119" s="1564" t="s">
        <v>4674</v>
      </c>
      <c r="E119" s="1545"/>
      <c r="F119" s="1594"/>
      <c r="G119" s="1459"/>
      <c r="H119" s="1557"/>
      <c r="J119" s="1548"/>
      <c r="K119" s="1591"/>
    </row>
    <row r="120" spans="1:11" s="1541" customFormat="1">
      <c r="A120" s="1518"/>
      <c r="B120" s="1518"/>
      <c r="C120" s="1522"/>
      <c r="D120" s="1564" t="s">
        <v>4675</v>
      </c>
      <c r="E120" s="1545"/>
      <c r="F120" s="1594"/>
      <c r="G120" s="1459"/>
      <c r="H120" s="1557"/>
      <c r="J120" s="1548"/>
      <c r="K120" s="1591"/>
    </row>
    <row r="121" spans="1:11" s="1554" customFormat="1">
      <c r="A121" s="1518"/>
      <c r="B121" s="1518"/>
      <c r="C121" s="1522"/>
      <c r="D121" s="1543" t="s">
        <v>4676</v>
      </c>
      <c r="E121" s="1545"/>
      <c r="F121" s="1545"/>
      <c r="G121" s="1457"/>
      <c r="H121" s="1561"/>
    </row>
    <row r="122" spans="1:11" s="1562" customFormat="1">
      <c r="A122" s="1522"/>
      <c r="B122" s="1522"/>
      <c r="C122" s="1522"/>
      <c r="D122" s="1552" t="s">
        <v>254</v>
      </c>
      <c r="G122" s="1460"/>
      <c r="H122" s="1561"/>
    </row>
    <row r="123" spans="1:11" s="1541" customFormat="1" ht="25.5">
      <c r="A123" s="1518"/>
      <c r="B123" s="1518"/>
      <c r="C123" s="1522" t="s">
        <v>55</v>
      </c>
      <c r="D123" s="1554" t="s">
        <v>4677</v>
      </c>
      <c r="E123" s="1545" t="s">
        <v>34</v>
      </c>
      <c r="F123" s="1545">
        <v>4</v>
      </c>
      <c r="G123" s="1461"/>
      <c r="H123" s="1557">
        <f>SUM(F123*G123)</f>
        <v>0</v>
      </c>
      <c r="J123" s="1548"/>
      <c r="K123" s="1591"/>
    </row>
    <row r="124" spans="1:11" s="1541" customFormat="1">
      <c r="A124" s="1518"/>
      <c r="B124" s="1518"/>
      <c r="C124" s="1522"/>
      <c r="D124" s="1554"/>
      <c r="E124" s="1545"/>
      <c r="F124" s="1594"/>
      <c r="G124" s="1459"/>
      <c r="H124" s="1557"/>
      <c r="J124" s="1548"/>
      <c r="K124" s="1591"/>
    </row>
    <row r="125" spans="1:11" s="1541" customFormat="1" ht="127.5">
      <c r="A125" s="1518" t="str">
        <f>A35</f>
        <v>H.</v>
      </c>
      <c r="B125" s="1518" t="str">
        <f>B35</f>
        <v>2.</v>
      </c>
      <c r="C125" s="1522">
        <f>C117+1</f>
        <v>14</v>
      </c>
      <c r="D125" s="1554" t="s">
        <v>4678</v>
      </c>
      <c r="E125" s="1545"/>
      <c r="F125" s="1594"/>
      <c r="G125" s="1459"/>
      <c r="H125" s="1557"/>
      <c r="J125" s="1548"/>
      <c r="K125" s="1591"/>
    </row>
    <row r="126" spans="1:11" s="1554" customFormat="1">
      <c r="A126" s="1518"/>
      <c r="B126" s="1518"/>
      <c r="D126" s="1543" t="s">
        <v>4641</v>
      </c>
      <c r="E126" s="1545"/>
      <c r="F126" s="1545"/>
      <c r="G126" s="1457"/>
      <c r="H126" s="1561"/>
    </row>
    <row r="127" spans="1:11" s="1541" customFormat="1" ht="140.25">
      <c r="A127" s="1518"/>
      <c r="B127" s="1518"/>
      <c r="C127" s="1522"/>
      <c r="D127" s="1554" t="s">
        <v>4679</v>
      </c>
      <c r="E127" s="1545"/>
      <c r="F127" s="1594"/>
      <c r="G127" s="1459"/>
      <c r="H127" s="1557"/>
      <c r="J127" s="1548"/>
      <c r="K127" s="1591"/>
    </row>
    <row r="128" spans="1:11" s="1554" customFormat="1">
      <c r="A128" s="1518"/>
      <c r="B128" s="1518"/>
      <c r="C128" s="1522"/>
      <c r="D128" s="1543" t="s">
        <v>4680</v>
      </c>
      <c r="E128" s="1545"/>
      <c r="F128" s="1545"/>
      <c r="G128" s="1457"/>
      <c r="H128" s="1561"/>
    </row>
    <row r="129" spans="1:11" s="1562" customFormat="1">
      <c r="A129" s="1522"/>
      <c r="B129" s="1522"/>
      <c r="C129" s="1522"/>
      <c r="D129" s="1552" t="s">
        <v>254</v>
      </c>
      <c r="G129" s="1460"/>
      <c r="H129" s="1561"/>
    </row>
    <row r="130" spans="1:11" s="1541" customFormat="1">
      <c r="A130" s="1518"/>
      <c r="B130" s="1518"/>
      <c r="C130" s="1522" t="s">
        <v>55</v>
      </c>
      <c r="D130" s="1554" t="s">
        <v>4681</v>
      </c>
      <c r="E130" s="1545" t="s">
        <v>34</v>
      </c>
      <c r="F130" s="1545">
        <v>2</v>
      </c>
      <c r="G130" s="1461"/>
      <c r="H130" s="1557">
        <f>SUM(F130*G130)</f>
        <v>0</v>
      </c>
      <c r="J130" s="1548"/>
      <c r="K130" s="1591"/>
    </row>
    <row r="131" spans="1:11" s="1541" customFormat="1">
      <c r="A131" s="1518"/>
      <c r="B131" s="1518"/>
      <c r="C131" s="1522"/>
      <c r="D131" s="1554"/>
      <c r="E131" s="1545"/>
      <c r="F131" s="1594"/>
      <c r="G131" s="1459"/>
      <c r="H131" s="1557"/>
      <c r="J131" s="1548"/>
      <c r="K131" s="1591"/>
    </row>
    <row r="132" spans="1:11" s="1541" customFormat="1" ht="102">
      <c r="A132" s="1518" t="str">
        <f>A35</f>
        <v>H.</v>
      </c>
      <c r="B132" s="1518" t="str">
        <f>B35</f>
        <v>2.</v>
      </c>
      <c r="C132" s="1522">
        <f>C125+1</f>
        <v>15</v>
      </c>
      <c r="D132" s="1554" t="s">
        <v>4682</v>
      </c>
      <c r="E132" s="1545"/>
      <c r="F132" s="1594"/>
      <c r="G132" s="1459"/>
      <c r="H132" s="1557"/>
      <c r="J132" s="1548"/>
      <c r="K132" s="1591"/>
    </row>
    <row r="133" spans="1:11" s="1554" customFormat="1">
      <c r="A133" s="1518"/>
      <c r="B133" s="1518"/>
      <c r="D133" s="1543" t="s">
        <v>4641</v>
      </c>
      <c r="E133" s="1545"/>
      <c r="F133" s="1545"/>
      <c r="G133" s="1457"/>
      <c r="H133" s="1561"/>
    </row>
    <row r="134" spans="1:11" s="1541" customFormat="1" ht="178.5">
      <c r="A134" s="1518"/>
      <c r="B134" s="1518"/>
      <c r="C134" s="1522"/>
      <c r="D134" s="1554" t="s">
        <v>4683</v>
      </c>
      <c r="E134" s="1545"/>
      <c r="F134" s="1594"/>
      <c r="G134" s="1459"/>
      <c r="H134" s="1557"/>
      <c r="J134" s="1548"/>
      <c r="K134" s="1591"/>
    </row>
    <row r="135" spans="1:11" s="1554" customFormat="1">
      <c r="A135" s="1518"/>
      <c r="B135" s="1518"/>
      <c r="C135" s="1522"/>
      <c r="D135" s="1543" t="s">
        <v>4684</v>
      </c>
      <c r="E135" s="1545"/>
      <c r="F135" s="1545"/>
      <c r="G135" s="1457"/>
      <c r="H135" s="1561"/>
    </row>
    <row r="136" spans="1:11" s="1562" customFormat="1">
      <c r="A136" s="1522"/>
      <c r="B136" s="1522"/>
      <c r="C136" s="1522"/>
      <c r="D136" s="1552" t="s">
        <v>254</v>
      </c>
      <c r="G136" s="1460"/>
      <c r="H136" s="1561"/>
    </row>
    <row r="137" spans="1:11" s="1541" customFormat="1">
      <c r="A137" s="1518"/>
      <c r="B137" s="1518"/>
      <c r="C137" s="1522" t="s">
        <v>55</v>
      </c>
      <c r="D137" s="1554" t="s">
        <v>4685</v>
      </c>
      <c r="E137" s="1545" t="s">
        <v>34</v>
      </c>
      <c r="F137" s="1545">
        <v>13</v>
      </c>
      <c r="G137" s="1461"/>
      <c r="H137" s="1557">
        <f>SUM(F137*G137)</f>
        <v>0</v>
      </c>
      <c r="J137" s="1548"/>
      <c r="K137" s="1591"/>
    </row>
    <row r="138" spans="1:11" s="1541" customFormat="1">
      <c r="A138" s="1518"/>
      <c r="B138" s="1518"/>
      <c r="C138" s="1522"/>
      <c r="D138" s="1554"/>
      <c r="E138" s="1545"/>
      <c r="F138" s="1594"/>
      <c r="G138" s="1459"/>
      <c r="H138" s="1557"/>
      <c r="J138" s="1548"/>
      <c r="K138" s="1591"/>
    </row>
    <row r="139" spans="1:11" s="1541" customFormat="1" ht="76.5">
      <c r="A139" s="1518" t="str">
        <f>A35</f>
        <v>H.</v>
      </c>
      <c r="B139" s="1518" t="str">
        <f>B35</f>
        <v>2.</v>
      </c>
      <c r="C139" s="1522">
        <f>C132+1</f>
        <v>16</v>
      </c>
      <c r="D139" s="1554" t="s">
        <v>4686</v>
      </c>
      <c r="E139" s="1545"/>
      <c r="F139" s="1594"/>
      <c r="G139" s="1459"/>
      <c r="H139" s="1557"/>
      <c r="J139" s="1548"/>
      <c r="K139" s="1591"/>
    </row>
    <row r="140" spans="1:11" s="1554" customFormat="1">
      <c r="A140" s="1518"/>
      <c r="B140" s="1518"/>
      <c r="D140" s="1543" t="s">
        <v>4641</v>
      </c>
      <c r="E140" s="1545"/>
      <c r="F140" s="1545"/>
      <c r="G140" s="1457"/>
      <c r="H140" s="1561"/>
    </row>
    <row r="141" spans="1:11" s="1541" customFormat="1" ht="178.5">
      <c r="A141" s="1518"/>
      <c r="B141" s="1518"/>
      <c r="C141" s="1522"/>
      <c r="D141" s="1554" t="s">
        <v>4687</v>
      </c>
      <c r="E141" s="1545"/>
      <c r="F141" s="1594"/>
      <c r="G141" s="1459"/>
      <c r="H141" s="1557"/>
      <c r="J141" s="1548"/>
      <c r="K141" s="1591"/>
    </row>
    <row r="142" spans="1:11" s="1554" customFormat="1">
      <c r="A142" s="1518"/>
      <c r="B142" s="1518"/>
      <c r="C142" s="1522"/>
      <c r="D142" s="1543" t="s">
        <v>4688</v>
      </c>
      <c r="E142" s="1545"/>
      <c r="F142" s="1545"/>
      <c r="G142" s="1457"/>
      <c r="H142" s="1561"/>
    </row>
    <row r="143" spans="1:11" s="1562" customFormat="1">
      <c r="A143" s="1522"/>
      <c r="B143" s="1522"/>
      <c r="C143" s="1522"/>
      <c r="D143" s="1552" t="s">
        <v>254</v>
      </c>
      <c r="G143" s="1460"/>
      <c r="H143" s="1561"/>
    </row>
    <row r="144" spans="1:11" s="1541" customFormat="1">
      <c r="A144" s="1518"/>
      <c r="B144" s="1518"/>
      <c r="C144" s="1522" t="s">
        <v>55</v>
      </c>
      <c r="D144" s="1554" t="s">
        <v>4689</v>
      </c>
      <c r="E144" s="1545" t="s">
        <v>34</v>
      </c>
      <c r="F144" s="1545">
        <v>17</v>
      </c>
      <c r="G144" s="1461"/>
      <c r="H144" s="1557">
        <f>SUM(F144*G144)</f>
        <v>0</v>
      </c>
      <c r="J144" s="1548"/>
      <c r="K144" s="1591"/>
    </row>
    <row r="145" spans="1:11" s="1541" customFormat="1">
      <c r="A145" s="1518"/>
      <c r="B145" s="1518"/>
      <c r="C145" s="1522"/>
      <c r="D145" s="1554"/>
      <c r="E145" s="1545"/>
      <c r="F145" s="1594"/>
      <c r="G145" s="1459"/>
      <c r="H145" s="1557"/>
      <c r="J145" s="1548"/>
      <c r="K145" s="1591"/>
    </row>
    <row r="146" spans="1:11" s="1541" customFormat="1" ht="76.5">
      <c r="A146" s="1518" t="str">
        <f>A35</f>
        <v>H.</v>
      </c>
      <c r="B146" s="1518" t="str">
        <f>B35</f>
        <v>2.</v>
      </c>
      <c r="C146" s="1522">
        <f>C139+1</f>
        <v>17</v>
      </c>
      <c r="D146" s="1554" t="s">
        <v>4690</v>
      </c>
      <c r="E146" s="1545"/>
      <c r="F146" s="1594"/>
      <c r="G146" s="1459"/>
      <c r="H146" s="1557"/>
      <c r="J146" s="1548"/>
      <c r="K146" s="1591"/>
    </row>
    <row r="147" spans="1:11" s="1554" customFormat="1">
      <c r="A147" s="1518"/>
      <c r="B147" s="1518"/>
      <c r="D147" s="1543" t="s">
        <v>4641</v>
      </c>
      <c r="E147" s="1545"/>
      <c r="F147" s="1545"/>
      <c r="G147" s="1457"/>
      <c r="H147" s="1561"/>
    </row>
    <row r="148" spans="1:11" s="1541" customFormat="1" ht="178.5">
      <c r="A148" s="1518"/>
      <c r="B148" s="1518"/>
      <c r="C148" s="1522"/>
      <c r="D148" s="1554" t="s">
        <v>4687</v>
      </c>
      <c r="E148" s="1545"/>
      <c r="F148" s="1594"/>
      <c r="G148" s="1459"/>
      <c r="H148" s="1557"/>
      <c r="J148" s="1548"/>
      <c r="K148" s="1591"/>
    </row>
    <row r="149" spans="1:11" s="1554" customFormat="1">
      <c r="A149" s="1518"/>
      <c r="B149" s="1518"/>
      <c r="C149" s="1522"/>
      <c r="D149" s="1543" t="s">
        <v>4691</v>
      </c>
      <c r="E149" s="1545"/>
      <c r="F149" s="1545"/>
      <c r="G149" s="1457"/>
      <c r="H149" s="1561"/>
    </row>
    <row r="150" spans="1:11" s="1562" customFormat="1">
      <c r="A150" s="1522"/>
      <c r="B150" s="1522"/>
      <c r="C150" s="1522"/>
      <c r="D150" s="1552" t="s">
        <v>254</v>
      </c>
      <c r="G150" s="1460"/>
      <c r="H150" s="1561"/>
    </row>
    <row r="151" spans="1:11" s="1541" customFormat="1">
      <c r="A151" s="1518"/>
      <c r="B151" s="1518"/>
      <c r="C151" s="1522" t="s">
        <v>55</v>
      </c>
      <c r="D151" s="1554" t="s">
        <v>4692</v>
      </c>
      <c r="E151" s="1545" t="s">
        <v>34</v>
      </c>
      <c r="F151" s="1545">
        <v>16</v>
      </c>
      <c r="G151" s="1461"/>
      <c r="H151" s="1557">
        <f>SUM(F151*G151)</f>
        <v>0</v>
      </c>
      <c r="J151" s="1548"/>
      <c r="K151" s="1591"/>
    </row>
    <row r="152" spans="1:11" s="1541" customFormat="1">
      <c r="A152" s="1518"/>
      <c r="B152" s="1518"/>
      <c r="C152" s="1522"/>
      <c r="D152" s="1554"/>
      <c r="E152" s="1545"/>
      <c r="F152" s="1594"/>
      <c r="G152" s="1459"/>
      <c r="H152" s="1557"/>
      <c r="J152" s="1548"/>
      <c r="K152" s="1591"/>
    </row>
    <row r="153" spans="1:11" s="1541" customFormat="1" ht="63.75">
      <c r="A153" s="1518" t="str">
        <f>A35</f>
        <v>H.</v>
      </c>
      <c r="B153" s="1518" t="str">
        <f>B35</f>
        <v>2.</v>
      </c>
      <c r="C153" s="1522">
        <f>C146+1</f>
        <v>18</v>
      </c>
      <c r="D153" s="1554" t="s">
        <v>4693</v>
      </c>
      <c r="E153" s="1545"/>
      <c r="F153" s="1594"/>
      <c r="G153" s="1459"/>
      <c r="H153" s="1557"/>
      <c r="J153" s="1548"/>
      <c r="K153" s="1591"/>
    </row>
    <row r="154" spans="1:11" s="1554" customFormat="1">
      <c r="A154" s="1518"/>
      <c r="B154" s="1518"/>
      <c r="D154" s="1543" t="s">
        <v>4641</v>
      </c>
      <c r="E154" s="1545"/>
      <c r="F154" s="1545"/>
      <c r="G154" s="1457"/>
      <c r="H154" s="1561"/>
    </row>
    <row r="155" spans="1:11" s="1541" customFormat="1" ht="178.5">
      <c r="A155" s="1518"/>
      <c r="B155" s="1518"/>
      <c r="C155" s="1522"/>
      <c r="D155" s="1554" t="s">
        <v>4694</v>
      </c>
      <c r="E155" s="1545"/>
      <c r="F155" s="1594"/>
      <c r="G155" s="1459"/>
      <c r="H155" s="1557"/>
      <c r="J155" s="1548"/>
      <c r="K155" s="1591"/>
    </row>
    <row r="156" spans="1:11" s="1554" customFormat="1">
      <c r="A156" s="1518"/>
      <c r="B156" s="1518"/>
      <c r="C156" s="1522"/>
      <c r="D156" s="1543" t="s">
        <v>4695</v>
      </c>
      <c r="E156" s="1545"/>
      <c r="F156" s="1545"/>
      <c r="G156" s="1457"/>
      <c r="H156" s="1561"/>
    </row>
    <row r="157" spans="1:11" s="1562" customFormat="1">
      <c r="A157" s="1522"/>
      <c r="B157" s="1522"/>
      <c r="C157" s="1522"/>
      <c r="D157" s="1552" t="s">
        <v>254</v>
      </c>
      <c r="G157" s="1460"/>
      <c r="H157" s="1561"/>
    </row>
    <row r="158" spans="1:11" s="1541" customFormat="1">
      <c r="A158" s="1518"/>
      <c r="B158" s="1518"/>
      <c r="C158" s="1522" t="s">
        <v>55</v>
      </c>
      <c r="D158" s="1554" t="s">
        <v>4696</v>
      </c>
      <c r="E158" s="1545" t="s">
        <v>34</v>
      </c>
      <c r="F158" s="1545">
        <v>3</v>
      </c>
      <c r="G158" s="1461"/>
      <c r="H158" s="1557">
        <f>SUM(F158*G158)</f>
        <v>0</v>
      </c>
      <c r="J158" s="1548"/>
      <c r="K158" s="1591"/>
    </row>
    <row r="159" spans="1:11" s="1541" customFormat="1">
      <c r="A159" s="1518"/>
      <c r="B159" s="1518"/>
      <c r="C159" s="1522"/>
      <c r="D159" s="1554"/>
      <c r="E159" s="1545"/>
      <c r="F159" s="1594"/>
      <c r="G159" s="1459"/>
      <c r="H159" s="1557"/>
      <c r="J159" s="1548"/>
      <c r="K159" s="1591"/>
    </row>
    <row r="160" spans="1:11" s="1541" customFormat="1" ht="76.5">
      <c r="A160" s="1518" t="str">
        <f>A35</f>
        <v>H.</v>
      </c>
      <c r="B160" s="1518" t="str">
        <f>B35</f>
        <v>2.</v>
      </c>
      <c r="C160" s="1522">
        <f>C153+1</f>
        <v>19</v>
      </c>
      <c r="D160" s="1554" t="s">
        <v>4697</v>
      </c>
      <c r="E160" s="1545"/>
      <c r="F160" s="1594"/>
      <c r="G160" s="1459"/>
      <c r="H160" s="1557"/>
      <c r="J160" s="1548"/>
      <c r="K160" s="1591"/>
    </row>
    <row r="161" spans="1:11" s="1554" customFormat="1">
      <c r="A161" s="1518"/>
      <c r="B161" s="1518"/>
      <c r="D161" s="1543" t="s">
        <v>4641</v>
      </c>
      <c r="E161" s="1545"/>
      <c r="F161" s="1545"/>
      <c r="G161" s="1457"/>
      <c r="H161" s="1561"/>
    </row>
    <row r="162" spans="1:11" s="1541" customFormat="1" ht="140.25">
      <c r="A162" s="1518"/>
      <c r="B162" s="1518"/>
      <c r="C162" s="1522"/>
      <c r="D162" s="1554" t="s">
        <v>4698</v>
      </c>
      <c r="E162" s="1545"/>
      <c r="F162" s="1594"/>
      <c r="G162" s="1459"/>
      <c r="H162" s="1557"/>
      <c r="J162" s="1548"/>
      <c r="K162" s="1591"/>
    </row>
    <row r="163" spans="1:11" s="1554" customFormat="1">
      <c r="A163" s="1518"/>
      <c r="B163" s="1518"/>
      <c r="C163" s="1522"/>
      <c r="D163" s="1543" t="s">
        <v>4699</v>
      </c>
      <c r="E163" s="1545"/>
      <c r="F163" s="1545"/>
      <c r="G163" s="1457"/>
      <c r="H163" s="1561"/>
    </row>
    <row r="164" spans="1:11" s="1562" customFormat="1">
      <c r="A164" s="1522"/>
      <c r="B164" s="1522"/>
      <c r="C164" s="1522"/>
      <c r="D164" s="1552" t="s">
        <v>254</v>
      </c>
      <c r="G164" s="1460"/>
      <c r="H164" s="1561"/>
    </row>
    <row r="165" spans="1:11" s="1541" customFormat="1">
      <c r="A165" s="1518"/>
      <c r="B165" s="1518"/>
      <c r="C165" s="1522" t="s">
        <v>55</v>
      </c>
      <c r="D165" s="1554" t="s">
        <v>4692</v>
      </c>
      <c r="E165" s="1545" t="s">
        <v>1160</v>
      </c>
      <c r="F165" s="1545">
        <v>18</v>
      </c>
      <c r="G165" s="1461"/>
      <c r="H165" s="1557">
        <f>SUM(F165*G165)</f>
        <v>0</v>
      </c>
      <c r="I165" s="1565"/>
      <c r="J165" s="1548"/>
      <c r="K165" s="1591"/>
    </row>
    <row r="166" spans="1:11" s="1541" customFormat="1">
      <c r="A166" s="1518"/>
      <c r="B166" s="1518"/>
      <c r="C166" s="1522"/>
      <c r="D166" s="1554"/>
      <c r="E166" s="1545"/>
      <c r="F166" s="1594"/>
      <c r="G166" s="1459"/>
      <c r="H166" s="1557"/>
      <c r="J166" s="1548"/>
      <c r="K166" s="1591"/>
    </row>
    <row r="167" spans="1:11" s="1541" customFormat="1" ht="38.25">
      <c r="A167" s="1518" t="str">
        <f>A35</f>
        <v>H.</v>
      </c>
      <c r="B167" s="1518" t="str">
        <f>B35</f>
        <v>2.</v>
      </c>
      <c r="C167" s="1522">
        <f>C160+1</f>
        <v>20</v>
      </c>
      <c r="D167" s="1554" t="s">
        <v>4700</v>
      </c>
      <c r="E167" s="1545"/>
      <c r="F167" s="1594"/>
      <c r="G167" s="1459"/>
      <c r="H167" s="1557"/>
      <c r="J167" s="1548"/>
      <c r="K167" s="1591"/>
    </row>
    <row r="168" spans="1:11" s="1554" customFormat="1">
      <c r="A168" s="1518"/>
      <c r="B168" s="1518"/>
      <c r="D168" s="1543" t="s">
        <v>4641</v>
      </c>
      <c r="E168" s="1545"/>
      <c r="F168" s="1545"/>
      <c r="G168" s="1457"/>
      <c r="H168" s="1561"/>
    </row>
    <row r="169" spans="1:11" s="1541" customFormat="1" ht="63.75">
      <c r="A169" s="1518"/>
      <c r="B169" s="1518"/>
      <c r="C169" s="1522"/>
      <c r="D169" s="1554" t="s">
        <v>4701</v>
      </c>
      <c r="E169" s="1545"/>
      <c r="F169" s="1594"/>
      <c r="G169" s="1459"/>
      <c r="H169" s="1557"/>
      <c r="J169" s="1548"/>
      <c r="K169" s="1591"/>
    </row>
    <row r="170" spans="1:11" s="1554" customFormat="1">
      <c r="A170" s="1518"/>
      <c r="B170" s="1518"/>
      <c r="C170" s="1522"/>
      <c r="D170" s="1543" t="s">
        <v>4702</v>
      </c>
      <c r="E170" s="1545"/>
      <c r="F170" s="1545"/>
      <c r="G170" s="1457"/>
      <c r="H170" s="1561"/>
    </row>
    <row r="171" spans="1:11" s="1562" customFormat="1">
      <c r="A171" s="1522"/>
      <c r="B171" s="1522"/>
      <c r="C171" s="1522"/>
      <c r="D171" s="1552" t="s">
        <v>254</v>
      </c>
      <c r="G171" s="1460"/>
      <c r="H171" s="1561"/>
    </row>
    <row r="172" spans="1:11" s="1541" customFormat="1">
      <c r="A172" s="1518"/>
      <c r="B172" s="1518"/>
      <c r="C172" s="1522" t="s">
        <v>55</v>
      </c>
      <c r="D172" s="1554" t="s">
        <v>4703</v>
      </c>
      <c r="E172" s="1545" t="s">
        <v>34</v>
      </c>
      <c r="F172" s="1545">
        <v>5</v>
      </c>
      <c r="G172" s="1461"/>
      <c r="H172" s="1557">
        <f>SUM(F172*G172)</f>
        <v>0</v>
      </c>
      <c r="J172" s="1548"/>
      <c r="K172" s="1591"/>
    </row>
    <row r="173" spans="1:11" s="1541" customFormat="1">
      <c r="A173" s="1518"/>
      <c r="B173" s="1518"/>
      <c r="C173" s="1522"/>
      <c r="D173" s="1554"/>
      <c r="E173" s="1545"/>
      <c r="F173" s="1594"/>
      <c r="G173" s="1459"/>
      <c r="H173" s="1557"/>
      <c r="J173" s="1548"/>
      <c r="K173" s="1591"/>
    </row>
    <row r="174" spans="1:11" s="1541" customFormat="1" ht="63.75">
      <c r="A174" s="1518" t="str">
        <f>A35</f>
        <v>H.</v>
      </c>
      <c r="B174" s="1518" t="str">
        <f>B35</f>
        <v>2.</v>
      </c>
      <c r="C174" s="1522">
        <f>C167+1</f>
        <v>21</v>
      </c>
      <c r="D174" s="1554" t="s">
        <v>4704</v>
      </c>
      <c r="E174" s="1545"/>
      <c r="F174" s="1594"/>
      <c r="G174" s="1459"/>
      <c r="H174" s="1557"/>
      <c r="J174" s="1548"/>
      <c r="K174" s="1591"/>
    </row>
    <row r="175" spans="1:11" s="1554" customFormat="1">
      <c r="A175" s="1518"/>
      <c r="B175" s="1518"/>
      <c r="D175" s="1543" t="s">
        <v>4641</v>
      </c>
      <c r="E175" s="1545"/>
      <c r="F175" s="1545"/>
      <c r="G175" s="1457"/>
      <c r="H175" s="1561"/>
    </row>
    <row r="176" spans="1:11" s="1541" customFormat="1" ht="102">
      <c r="A176" s="1518"/>
      <c r="B176" s="1518"/>
      <c r="C176" s="1522"/>
      <c r="D176" s="1554" t="s">
        <v>4705</v>
      </c>
      <c r="E176" s="1545"/>
      <c r="F176" s="1594"/>
      <c r="G176" s="1459"/>
      <c r="H176" s="1557"/>
      <c r="J176" s="1548"/>
      <c r="K176" s="1591"/>
    </row>
    <row r="177" spans="1:11" s="1554" customFormat="1">
      <c r="A177" s="1518"/>
      <c r="B177" s="1518"/>
      <c r="C177" s="1522"/>
      <c r="D177" s="1543" t="s">
        <v>4706</v>
      </c>
      <c r="E177" s="1545"/>
      <c r="F177" s="1545"/>
      <c r="G177" s="1457"/>
      <c r="H177" s="1561"/>
    </row>
    <row r="178" spans="1:11" s="1562" customFormat="1">
      <c r="A178" s="1522"/>
      <c r="B178" s="1522"/>
      <c r="C178" s="1522"/>
      <c r="D178" s="1552" t="s">
        <v>254</v>
      </c>
      <c r="G178" s="1460"/>
      <c r="H178" s="1561"/>
    </row>
    <row r="179" spans="1:11" s="1541" customFormat="1">
      <c r="A179" s="1518"/>
      <c r="B179" s="1518"/>
      <c r="C179" s="1522" t="s">
        <v>55</v>
      </c>
      <c r="D179" s="1554" t="s">
        <v>4707</v>
      </c>
      <c r="E179" s="1545" t="s">
        <v>1160</v>
      </c>
      <c r="F179" s="1545">
        <v>20</v>
      </c>
      <c r="G179" s="1461"/>
      <c r="H179" s="1557">
        <f>SUM(F179*G179)</f>
        <v>0</v>
      </c>
      <c r="I179" s="1565"/>
      <c r="J179" s="1548"/>
      <c r="K179" s="1591"/>
    </row>
    <row r="180" spans="1:11" s="1541" customFormat="1">
      <c r="A180" s="1518"/>
      <c r="B180" s="1518"/>
      <c r="C180" s="1522"/>
      <c r="D180" s="1554"/>
      <c r="E180" s="1545"/>
      <c r="F180" s="1594"/>
      <c r="G180" s="1459"/>
      <c r="H180" s="1557"/>
      <c r="J180" s="1548"/>
      <c r="K180" s="1591"/>
    </row>
    <row r="181" spans="1:11" s="1541" customFormat="1" ht="38.25">
      <c r="A181" s="1518" t="str">
        <f>A35</f>
        <v>H.</v>
      </c>
      <c r="B181" s="1518" t="str">
        <f>B35</f>
        <v>2.</v>
      </c>
      <c r="C181" s="1522">
        <f>C174+1</f>
        <v>22</v>
      </c>
      <c r="D181" s="1554" t="s">
        <v>4708</v>
      </c>
      <c r="E181" s="1545"/>
      <c r="F181" s="1594"/>
      <c r="G181" s="1459"/>
      <c r="H181" s="1557"/>
      <c r="J181" s="1548"/>
      <c r="K181" s="1591"/>
    </row>
    <row r="182" spans="1:11" s="1554" customFormat="1">
      <c r="A182" s="1518"/>
      <c r="B182" s="1518"/>
      <c r="D182" s="1543" t="s">
        <v>4641</v>
      </c>
      <c r="E182" s="1545"/>
      <c r="F182" s="1545"/>
      <c r="G182" s="1457"/>
      <c r="H182" s="1561"/>
    </row>
    <row r="183" spans="1:11" s="1541" customFormat="1" ht="63.75">
      <c r="A183" s="1518"/>
      <c r="B183" s="1518"/>
      <c r="C183" s="1522"/>
      <c r="D183" s="1554" t="s">
        <v>4709</v>
      </c>
      <c r="E183" s="1545"/>
      <c r="F183" s="1594"/>
      <c r="G183" s="1459"/>
      <c r="H183" s="1557"/>
      <c r="J183" s="1548"/>
      <c r="K183" s="1591"/>
    </row>
    <row r="184" spans="1:11" s="1554" customFormat="1">
      <c r="A184" s="1518"/>
      <c r="B184" s="1518"/>
      <c r="C184" s="1522"/>
      <c r="D184" s="1543" t="s">
        <v>4710</v>
      </c>
      <c r="E184" s="1545"/>
      <c r="F184" s="1545"/>
      <c r="G184" s="1457"/>
      <c r="H184" s="1561"/>
    </row>
    <row r="185" spans="1:11" s="1562" customFormat="1">
      <c r="A185" s="1522"/>
      <c r="B185" s="1522"/>
      <c r="C185" s="1522"/>
      <c r="D185" s="1552" t="s">
        <v>254</v>
      </c>
      <c r="G185" s="1460"/>
      <c r="H185" s="1561"/>
    </row>
    <row r="186" spans="1:11" s="1541" customFormat="1">
      <c r="A186" s="1518"/>
      <c r="B186" s="1518"/>
      <c r="C186" s="1522" t="s">
        <v>55</v>
      </c>
      <c r="D186" s="1554" t="s">
        <v>4703</v>
      </c>
      <c r="E186" s="1545" t="s">
        <v>34</v>
      </c>
      <c r="F186" s="1545">
        <v>13</v>
      </c>
      <c r="G186" s="1461"/>
      <c r="H186" s="1557">
        <f>SUM(F186*G186)</f>
        <v>0</v>
      </c>
      <c r="J186" s="1548"/>
      <c r="K186" s="1591"/>
    </row>
    <row r="187" spans="1:11" s="1541" customFormat="1">
      <c r="A187" s="1518"/>
      <c r="B187" s="1518"/>
      <c r="C187" s="1522"/>
      <c r="D187" s="1554"/>
      <c r="E187" s="1545"/>
      <c r="F187" s="1594"/>
      <c r="G187" s="1459"/>
      <c r="H187" s="1557"/>
      <c r="J187" s="1548"/>
      <c r="K187" s="1591"/>
    </row>
    <row r="188" spans="1:11" s="1541" customFormat="1" ht="63.75">
      <c r="A188" s="1518" t="str">
        <f>A35</f>
        <v>H.</v>
      </c>
      <c r="B188" s="1518" t="str">
        <f>B35</f>
        <v>2.</v>
      </c>
      <c r="C188" s="1522">
        <f>C181+1</f>
        <v>23</v>
      </c>
      <c r="D188" s="1554" t="s">
        <v>4711</v>
      </c>
      <c r="E188" s="1545"/>
      <c r="F188" s="1594"/>
      <c r="G188" s="1459"/>
      <c r="H188" s="1557"/>
      <c r="J188" s="1548"/>
      <c r="K188" s="1591"/>
    </row>
    <row r="189" spans="1:11" s="1554" customFormat="1">
      <c r="A189" s="1518"/>
      <c r="B189" s="1518"/>
      <c r="D189" s="1543" t="s">
        <v>4641</v>
      </c>
      <c r="E189" s="1545"/>
      <c r="F189" s="1545"/>
      <c r="G189" s="1457"/>
      <c r="H189" s="1561"/>
    </row>
    <row r="190" spans="1:11" s="1541" customFormat="1" ht="153">
      <c r="A190" s="1518"/>
      <c r="B190" s="1518"/>
      <c r="C190" s="1522"/>
      <c r="D190" s="1554" t="s">
        <v>4712</v>
      </c>
      <c r="E190" s="1545"/>
      <c r="F190" s="1594"/>
      <c r="G190" s="1459"/>
      <c r="H190" s="1557"/>
      <c r="J190" s="1548"/>
      <c r="K190" s="1591"/>
    </row>
    <row r="191" spans="1:11" s="1554" customFormat="1">
      <c r="A191" s="1518"/>
      <c r="B191" s="1518"/>
      <c r="C191" s="1522"/>
      <c r="D191" s="1543" t="s">
        <v>4713</v>
      </c>
      <c r="E191" s="1545"/>
      <c r="F191" s="1545"/>
      <c r="G191" s="1457"/>
      <c r="H191" s="1561"/>
    </row>
    <row r="192" spans="1:11" s="1562" customFormat="1">
      <c r="A192" s="1522"/>
      <c r="B192" s="1522"/>
      <c r="C192" s="1522"/>
      <c r="D192" s="1552" t="s">
        <v>254</v>
      </c>
      <c r="G192" s="1460"/>
      <c r="H192" s="1561"/>
    </row>
    <row r="193" spans="1:11" s="1541" customFormat="1">
      <c r="A193" s="1518"/>
      <c r="B193" s="1518"/>
      <c r="C193" s="1522" t="s">
        <v>55</v>
      </c>
      <c r="D193" s="1543" t="s">
        <v>4714</v>
      </c>
      <c r="E193" s="1545" t="s">
        <v>34</v>
      </c>
      <c r="F193" s="1545">
        <v>8</v>
      </c>
      <c r="G193" s="1461"/>
      <c r="H193" s="1557">
        <f>SUM(F193*G193)</f>
        <v>0</v>
      </c>
      <c r="J193" s="1548"/>
      <c r="K193" s="1591"/>
    </row>
    <row r="194" spans="1:11" s="1541" customFormat="1">
      <c r="A194" s="1518"/>
      <c r="B194" s="1518"/>
      <c r="C194" s="1522" t="s">
        <v>54</v>
      </c>
      <c r="D194" s="1543" t="s">
        <v>4715</v>
      </c>
      <c r="E194" s="1545" t="s">
        <v>34</v>
      </c>
      <c r="F194" s="1545">
        <v>2</v>
      </c>
      <c r="G194" s="1461"/>
      <c r="H194" s="1557">
        <f>SUM(F194*G194)</f>
        <v>0</v>
      </c>
      <c r="J194" s="1548"/>
      <c r="K194" s="1591"/>
    </row>
    <row r="195" spans="1:11" s="1541" customFormat="1">
      <c r="A195" s="1518"/>
      <c r="B195" s="1518"/>
      <c r="C195" s="1522" t="s">
        <v>53</v>
      </c>
      <c r="D195" s="1543" t="s">
        <v>4716</v>
      </c>
      <c r="E195" s="1545" t="s">
        <v>34</v>
      </c>
      <c r="F195" s="1545">
        <v>1</v>
      </c>
      <c r="G195" s="1461"/>
      <c r="H195" s="1557">
        <f>SUM(F195*G195)</f>
        <v>0</v>
      </c>
      <c r="J195" s="1548"/>
      <c r="K195" s="1591"/>
    </row>
    <row r="196" spans="1:11" s="1541" customFormat="1">
      <c r="A196" s="1518"/>
      <c r="B196" s="1518"/>
      <c r="C196" s="1522" t="s">
        <v>52</v>
      </c>
      <c r="D196" s="1543" t="s">
        <v>4717</v>
      </c>
      <c r="E196" s="1545" t="s">
        <v>34</v>
      </c>
      <c r="F196" s="1545">
        <v>1</v>
      </c>
      <c r="G196" s="1461"/>
      <c r="H196" s="1557">
        <f>SUM(F196*G196)</f>
        <v>0</v>
      </c>
      <c r="J196" s="1548"/>
      <c r="K196" s="1591"/>
    </row>
    <row r="197" spans="1:11" s="1541" customFormat="1">
      <c r="A197" s="1518"/>
      <c r="B197" s="1518"/>
      <c r="C197" s="1522"/>
      <c r="D197" s="1554"/>
      <c r="E197" s="1545"/>
      <c r="F197" s="1594"/>
      <c r="G197" s="1459"/>
      <c r="H197" s="1557"/>
      <c r="J197" s="1548"/>
      <c r="K197" s="1591"/>
    </row>
    <row r="198" spans="1:11" s="1591" customFormat="1" ht="63.75">
      <c r="A198" s="1518" t="str">
        <f>A35</f>
        <v>H.</v>
      </c>
      <c r="B198" s="1518" t="str">
        <f>B35</f>
        <v>2.</v>
      </c>
      <c r="C198" s="1522">
        <f>C188+1</f>
        <v>24</v>
      </c>
      <c r="D198" s="1554" t="s">
        <v>4718</v>
      </c>
      <c r="E198" s="1545"/>
      <c r="F198" s="1594"/>
      <c r="G198" s="1459"/>
      <c r="H198" s="1557"/>
      <c r="I198" s="1541"/>
      <c r="J198" s="1548"/>
    </row>
    <row r="199" spans="1:11" s="1554" customFormat="1">
      <c r="A199" s="1518"/>
      <c r="B199" s="1518"/>
      <c r="D199" s="1543" t="s">
        <v>4641</v>
      </c>
      <c r="E199" s="1545"/>
      <c r="F199" s="1545"/>
      <c r="G199" s="1457"/>
      <c r="H199" s="1561"/>
    </row>
    <row r="200" spans="1:11" s="1591" customFormat="1" ht="140.25">
      <c r="A200" s="1518"/>
      <c r="B200" s="1518"/>
      <c r="C200" s="1522"/>
      <c r="D200" s="1554" t="s">
        <v>4719</v>
      </c>
      <c r="E200" s="1545"/>
      <c r="F200" s="1594"/>
      <c r="G200" s="1459"/>
      <c r="H200" s="1557"/>
      <c r="I200" s="1541"/>
      <c r="J200" s="1548"/>
    </row>
    <row r="201" spans="1:11" s="1554" customFormat="1">
      <c r="A201" s="1518"/>
      <c r="B201" s="1518"/>
      <c r="C201" s="1522"/>
      <c r="D201" s="1543" t="s">
        <v>4720</v>
      </c>
      <c r="E201" s="1545"/>
      <c r="F201" s="1545"/>
      <c r="G201" s="1457"/>
      <c r="H201" s="1561"/>
    </row>
    <row r="202" spans="1:11" s="1562" customFormat="1">
      <c r="A202" s="1522"/>
      <c r="B202" s="1522"/>
      <c r="C202" s="1522"/>
      <c r="D202" s="1552" t="s">
        <v>254</v>
      </c>
      <c r="G202" s="1460"/>
      <c r="H202" s="1561"/>
    </row>
    <row r="203" spans="1:11" s="1541" customFormat="1">
      <c r="A203" s="1518"/>
      <c r="B203" s="1518"/>
      <c r="C203" s="1522" t="s">
        <v>55</v>
      </c>
      <c r="D203" s="1543" t="s">
        <v>4714</v>
      </c>
      <c r="E203" s="1545" t="s">
        <v>34</v>
      </c>
      <c r="F203" s="1545">
        <v>11</v>
      </c>
      <c r="G203" s="1461"/>
      <c r="H203" s="1557">
        <f>SUM(F203*G203)</f>
        <v>0</v>
      </c>
      <c r="J203" s="1548"/>
      <c r="K203" s="1591"/>
    </row>
    <row r="204" spans="1:11" s="1541" customFormat="1">
      <c r="A204" s="1518"/>
      <c r="B204" s="1518"/>
      <c r="C204" s="1522" t="s">
        <v>54</v>
      </c>
      <c r="D204" s="1543" t="s">
        <v>4715</v>
      </c>
      <c r="E204" s="1545" t="s">
        <v>34</v>
      </c>
      <c r="F204" s="1545">
        <v>24</v>
      </c>
      <c r="G204" s="1461"/>
      <c r="H204" s="1557">
        <f>SUM(F204*G204)</f>
        <v>0</v>
      </c>
      <c r="J204" s="1548"/>
      <c r="K204" s="1591"/>
    </row>
    <row r="205" spans="1:11" s="1541" customFormat="1">
      <c r="A205" s="1518"/>
      <c r="B205" s="1518"/>
      <c r="C205" s="1522" t="s">
        <v>53</v>
      </c>
      <c r="D205" s="1543" t="s">
        <v>4716</v>
      </c>
      <c r="E205" s="1545" t="s">
        <v>34</v>
      </c>
      <c r="F205" s="1545">
        <v>5</v>
      </c>
      <c r="G205" s="1461"/>
      <c r="H205" s="1557">
        <f>SUM(F205*G205)</f>
        <v>0</v>
      </c>
      <c r="J205" s="1548"/>
      <c r="K205" s="1591"/>
    </row>
    <row r="206" spans="1:11" s="1591" customFormat="1">
      <c r="A206" s="1518"/>
      <c r="B206" s="1518"/>
      <c r="C206" s="1522"/>
      <c r="D206" s="1554"/>
      <c r="E206" s="1545"/>
      <c r="F206" s="1594"/>
      <c r="G206" s="1459"/>
      <c r="H206" s="1557"/>
      <c r="I206" s="1541"/>
      <c r="J206" s="1548"/>
    </row>
    <row r="207" spans="1:11" s="1591" customFormat="1" ht="63.75">
      <c r="A207" s="1518" t="str">
        <f>A35</f>
        <v>H.</v>
      </c>
      <c r="B207" s="1518" t="str">
        <f>B35</f>
        <v>2.</v>
      </c>
      <c r="C207" s="1522">
        <f>C198+1</f>
        <v>25</v>
      </c>
      <c r="D207" s="1554" t="s">
        <v>4721</v>
      </c>
      <c r="E207" s="1545"/>
      <c r="F207" s="1594"/>
      <c r="G207" s="1459"/>
      <c r="H207" s="1557"/>
      <c r="I207" s="1541"/>
      <c r="J207" s="1548"/>
    </row>
    <row r="208" spans="1:11" s="1554" customFormat="1">
      <c r="A208" s="1518"/>
      <c r="B208" s="1518"/>
      <c r="D208" s="1543" t="s">
        <v>4641</v>
      </c>
      <c r="E208" s="1545"/>
      <c r="F208" s="1545"/>
      <c r="G208" s="1457"/>
      <c r="H208" s="1561"/>
    </row>
    <row r="209" spans="1:11" s="1591" customFormat="1" ht="140.25">
      <c r="A209" s="1518"/>
      <c r="B209" s="1518"/>
      <c r="C209" s="1522"/>
      <c r="D209" s="1554" t="s">
        <v>4719</v>
      </c>
      <c r="E209" s="1545"/>
      <c r="F209" s="1594"/>
      <c r="G209" s="1459"/>
      <c r="H209" s="1557"/>
      <c r="I209" s="1541"/>
      <c r="J209" s="1548"/>
    </row>
    <row r="210" spans="1:11" s="1554" customFormat="1">
      <c r="A210" s="1518"/>
      <c r="B210" s="1518"/>
      <c r="C210" s="1522"/>
      <c r="D210" s="1543" t="s">
        <v>4722</v>
      </c>
      <c r="E210" s="1545"/>
      <c r="F210" s="1545"/>
      <c r="G210" s="1457"/>
      <c r="H210" s="1561"/>
    </row>
    <row r="211" spans="1:11" s="1562" customFormat="1">
      <c r="A211" s="1522"/>
      <c r="B211" s="1522"/>
      <c r="C211" s="1522"/>
      <c r="D211" s="1552" t="s">
        <v>254</v>
      </c>
      <c r="G211" s="1460"/>
      <c r="H211" s="1561"/>
    </row>
    <row r="212" spans="1:11" s="1541" customFormat="1">
      <c r="A212" s="1518"/>
      <c r="B212" s="1518"/>
      <c r="C212" s="1522" t="s">
        <v>55</v>
      </c>
      <c r="D212" s="1543" t="s">
        <v>4714</v>
      </c>
      <c r="E212" s="1545" t="s">
        <v>34</v>
      </c>
      <c r="F212" s="1545">
        <v>11</v>
      </c>
      <c r="G212" s="1461"/>
      <c r="H212" s="1557">
        <f>SUM(F212*G212)</f>
        <v>0</v>
      </c>
      <c r="J212" s="1548"/>
      <c r="K212" s="1591"/>
    </row>
    <row r="213" spans="1:11" s="1541" customFormat="1">
      <c r="A213" s="1518"/>
      <c r="B213" s="1518"/>
      <c r="C213" s="1522" t="s">
        <v>54</v>
      </c>
      <c r="D213" s="1543" t="s">
        <v>4715</v>
      </c>
      <c r="E213" s="1545" t="s">
        <v>34</v>
      </c>
      <c r="F213" s="1545">
        <v>64</v>
      </c>
      <c r="G213" s="1461"/>
      <c r="H213" s="1557">
        <f>SUM(F213*G213)</f>
        <v>0</v>
      </c>
      <c r="J213" s="1548"/>
      <c r="K213" s="1591"/>
    </row>
    <row r="214" spans="1:11" s="1541" customFormat="1">
      <c r="A214" s="1518"/>
      <c r="B214" s="1518"/>
      <c r="C214" s="1522" t="s">
        <v>53</v>
      </c>
      <c r="D214" s="1543" t="s">
        <v>4716</v>
      </c>
      <c r="E214" s="1545" t="s">
        <v>34</v>
      </c>
      <c r="F214" s="1545">
        <v>33</v>
      </c>
      <c r="G214" s="1461"/>
      <c r="H214" s="1557">
        <f>SUM(F214*G214)</f>
        <v>0</v>
      </c>
      <c r="J214" s="1548"/>
      <c r="K214" s="1591"/>
    </row>
    <row r="215" spans="1:11" s="1541" customFormat="1">
      <c r="A215" s="1518"/>
      <c r="B215" s="1518"/>
      <c r="C215" s="1522"/>
      <c r="D215" s="1543"/>
      <c r="E215" s="1545"/>
      <c r="F215" s="1545"/>
      <c r="G215" s="1459"/>
      <c r="H215" s="1557"/>
      <c r="J215" s="1548"/>
      <c r="K215" s="1591"/>
    </row>
    <row r="216" spans="1:11" s="1541" customFormat="1">
      <c r="A216" s="1518"/>
      <c r="B216" s="1518"/>
      <c r="C216" s="1559" t="s">
        <v>4635</v>
      </c>
      <c r="D216" s="1566" t="s">
        <v>4723</v>
      </c>
      <c r="E216" s="1545"/>
      <c r="F216" s="1545"/>
      <c r="G216" s="1459"/>
      <c r="H216" s="1557"/>
      <c r="J216" s="1548"/>
      <c r="K216" s="1591"/>
    </row>
    <row r="217" spans="1:11" s="1591" customFormat="1">
      <c r="A217" s="1518"/>
      <c r="B217" s="1518"/>
      <c r="C217" s="1522"/>
      <c r="D217" s="1554"/>
      <c r="E217" s="1545"/>
      <c r="F217" s="1594"/>
      <c r="G217" s="1459"/>
      <c r="H217" s="1557"/>
      <c r="I217" s="1541"/>
      <c r="J217" s="1548"/>
    </row>
    <row r="218" spans="1:11" s="1591" customFormat="1" ht="153">
      <c r="A218" s="1518" t="str">
        <f>A35</f>
        <v>H.</v>
      </c>
      <c r="B218" s="1518" t="str">
        <f>B35</f>
        <v>2.</v>
      </c>
      <c r="C218" s="1522">
        <f>C207+1</f>
        <v>26</v>
      </c>
      <c r="D218" s="1554" t="s">
        <v>4724</v>
      </c>
      <c r="E218" s="1545"/>
      <c r="F218" s="1594"/>
      <c r="G218" s="1459"/>
      <c r="H218" s="1557"/>
      <c r="I218" s="1541"/>
      <c r="J218" s="1548"/>
    </row>
    <row r="219" spans="1:11" s="1554" customFormat="1">
      <c r="A219" s="1518"/>
      <c r="B219" s="1518"/>
      <c r="D219" s="1543" t="s">
        <v>4641</v>
      </c>
      <c r="E219" s="1545"/>
      <c r="F219" s="1545"/>
      <c r="G219" s="1457"/>
      <c r="H219" s="1561"/>
    </row>
    <row r="220" spans="1:11" s="1541" customFormat="1" ht="229.5">
      <c r="A220" s="1518"/>
      <c r="B220" s="1518"/>
      <c r="C220" s="1522"/>
      <c r="D220" s="1554" t="s">
        <v>4725</v>
      </c>
      <c r="E220" s="1545"/>
      <c r="F220" s="1594"/>
      <c r="G220" s="1459"/>
      <c r="H220" s="1557"/>
      <c r="J220" s="1548"/>
      <c r="K220" s="1591"/>
    </row>
    <row r="221" spans="1:11" s="1554" customFormat="1">
      <c r="A221" s="1518"/>
      <c r="B221" s="1518"/>
      <c r="C221" s="1522"/>
      <c r="D221" s="1543" t="s">
        <v>4726</v>
      </c>
      <c r="E221" s="1545"/>
      <c r="F221" s="1545"/>
      <c r="G221" s="1457"/>
      <c r="H221" s="1561"/>
    </row>
    <row r="222" spans="1:11" s="1562" customFormat="1">
      <c r="A222" s="1522"/>
      <c r="B222" s="1522"/>
      <c r="C222" s="1522"/>
      <c r="D222" s="1552" t="s">
        <v>254</v>
      </c>
      <c r="G222" s="1460"/>
      <c r="H222" s="1561"/>
    </row>
    <row r="223" spans="1:11" s="1541" customFormat="1" ht="25.5">
      <c r="A223" s="1518"/>
      <c r="B223" s="1518"/>
      <c r="C223" s="1522" t="s">
        <v>55</v>
      </c>
      <c r="D223" s="1554" t="s">
        <v>4727</v>
      </c>
      <c r="E223" s="1545" t="s">
        <v>34</v>
      </c>
      <c r="F223" s="1545">
        <v>65</v>
      </c>
      <c r="G223" s="1461"/>
      <c r="H223" s="1557">
        <f>SUM(F223*G223)</f>
        <v>0</v>
      </c>
      <c r="J223" s="1548"/>
      <c r="K223" s="1591"/>
    </row>
    <row r="224" spans="1:11" s="1541" customFormat="1">
      <c r="A224" s="1518"/>
      <c r="B224" s="1518"/>
      <c r="C224" s="1522"/>
      <c r="D224" s="1554"/>
      <c r="E224" s="1545"/>
      <c r="F224" s="1594"/>
      <c r="G224" s="1459"/>
      <c r="H224" s="1557"/>
      <c r="J224" s="1548"/>
      <c r="K224" s="1591"/>
    </row>
    <row r="225" spans="1:11" s="1541" customFormat="1" ht="114.75">
      <c r="A225" s="1518" t="str">
        <f>A35</f>
        <v>H.</v>
      </c>
      <c r="B225" s="1518" t="str">
        <f>B35</f>
        <v>2.</v>
      </c>
      <c r="C225" s="1522">
        <f>C218+1</f>
        <v>27</v>
      </c>
      <c r="D225" s="1554" t="s">
        <v>4728</v>
      </c>
      <c r="E225" s="1545"/>
      <c r="F225" s="1594"/>
      <c r="G225" s="1459"/>
      <c r="H225" s="1557"/>
      <c r="J225" s="1548"/>
      <c r="K225" s="1591"/>
    </row>
    <row r="226" spans="1:11" s="1554" customFormat="1">
      <c r="A226" s="1518"/>
      <c r="B226" s="1518"/>
      <c r="D226" s="1543" t="s">
        <v>4641</v>
      </c>
      <c r="E226" s="1545"/>
      <c r="F226" s="1545"/>
      <c r="G226" s="1457"/>
      <c r="H226" s="1561"/>
    </row>
    <row r="227" spans="1:11" s="1541" customFormat="1" ht="191.25">
      <c r="A227" s="1518"/>
      <c r="B227" s="1518"/>
      <c r="C227" s="1522"/>
      <c r="D227" s="1554" t="s">
        <v>4729</v>
      </c>
      <c r="E227" s="1545"/>
      <c r="F227" s="1594"/>
      <c r="G227" s="1459"/>
      <c r="H227" s="1557"/>
      <c r="J227" s="1548"/>
      <c r="K227" s="1591"/>
    </row>
    <row r="228" spans="1:11" s="1554" customFormat="1">
      <c r="A228" s="1518"/>
      <c r="B228" s="1518"/>
      <c r="C228" s="1522"/>
      <c r="D228" s="1543" t="s">
        <v>4730</v>
      </c>
      <c r="E228" s="1545"/>
      <c r="F228" s="1545"/>
      <c r="G228" s="1457"/>
      <c r="H228" s="1561"/>
    </row>
    <row r="229" spans="1:11" s="1562" customFormat="1">
      <c r="A229" s="1522"/>
      <c r="B229" s="1522"/>
      <c r="C229" s="1522"/>
      <c r="D229" s="1552" t="s">
        <v>254</v>
      </c>
      <c r="G229" s="1460"/>
      <c r="H229" s="1561"/>
    </row>
    <row r="230" spans="1:11" s="1541" customFormat="1">
      <c r="A230" s="1518"/>
      <c r="B230" s="1518"/>
      <c r="C230" s="1522" t="s">
        <v>55</v>
      </c>
      <c r="D230" s="1554" t="s">
        <v>4731</v>
      </c>
      <c r="E230" s="1545" t="s">
        <v>34</v>
      </c>
      <c r="F230" s="1594">
        <v>1</v>
      </c>
      <c r="G230" s="1461"/>
      <c r="H230" s="1557">
        <f>SUM(F230*G230)</f>
        <v>0</v>
      </c>
      <c r="J230" s="1548"/>
      <c r="K230" s="1591"/>
    </row>
    <row r="231" spans="1:11" s="1541" customFormat="1">
      <c r="A231" s="1518"/>
      <c r="B231" s="1518"/>
      <c r="C231" s="1522"/>
      <c r="D231" s="1554"/>
      <c r="E231" s="1545"/>
      <c r="F231" s="1594"/>
      <c r="G231" s="1459"/>
      <c r="H231" s="1557"/>
      <c r="J231" s="1548"/>
      <c r="K231" s="1591"/>
    </row>
    <row r="232" spans="1:11" s="1541" customFormat="1" ht="165.75">
      <c r="A232" s="1518" t="str">
        <f>A225</f>
        <v>H.</v>
      </c>
      <c r="B232" s="1518" t="str">
        <f>B225</f>
        <v>2.</v>
      </c>
      <c r="C232" s="1522">
        <f>C225+1</f>
        <v>28</v>
      </c>
      <c r="D232" s="1554" t="s">
        <v>4732</v>
      </c>
      <c r="E232" s="1545"/>
      <c r="F232" s="1594"/>
      <c r="G232" s="1459"/>
      <c r="H232" s="1557"/>
      <c r="J232" s="1548"/>
      <c r="K232" s="1591"/>
    </row>
    <row r="233" spans="1:11" s="1554" customFormat="1">
      <c r="A233" s="1518"/>
      <c r="B233" s="1518"/>
      <c r="D233" s="1543" t="s">
        <v>4641</v>
      </c>
      <c r="E233" s="1545"/>
      <c r="F233" s="1545"/>
      <c r="G233" s="1457"/>
      <c r="H233" s="1561"/>
    </row>
    <row r="234" spans="1:11" s="1541" customFormat="1" ht="229.5">
      <c r="A234" s="1518"/>
      <c r="B234" s="1518"/>
      <c r="C234" s="1522"/>
      <c r="D234" s="1554" t="s">
        <v>4733</v>
      </c>
      <c r="E234" s="1545"/>
      <c r="F234" s="1594"/>
      <c r="G234" s="1459"/>
      <c r="H234" s="1557"/>
      <c r="J234" s="1548"/>
      <c r="K234" s="1591"/>
    </row>
    <row r="235" spans="1:11" s="1554" customFormat="1">
      <c r="A235" s="1518"/>
      <c r="B235" s="1518"/>
      <c r="C235" s="1522"/>
      <c r="D235" s="1543" t="s">
        <v>4734</v>
      </c>
      <c r="E235" s="1545"/>
      <c r="F235" s="1545"/>
      <c r="G235" s="1457"/>
      <c r="H235" s="1561"/>
    </row>
    <row r="236" spans="1:11" s="1562" customFormat="1">
      <c r="A236" s="1522"/>
      <c r="B236" s="1522"/>
      <c r="C236" s="1522"/>
      <c r="D236" s="1552" t="s">
        <v>254</v>
      </c>
      <c r="G236" s="1460"/>
      <c r="H236" s="1561"/>
    </row>
    <row r="237" spans="1:11" s="1541" customFormat="1">
      <c r="A237" s="1518"/>
      <c r="B237" s="1518"/>
      <c r="C237" s="1522" t="s">
        <v>55</v>
      </c>
      <c r="D237" s="1554" t="s">
        <v>4735</v>
      </c>
      <c r="E237" s="1545" t="s">
        <v>34</v>
      </c>
      <c r="F237" s="1594">
        <v>2</v>
      </c>
      <c r="G237" s="1461"/>
      <c r="H237" s="1557">
        <f>SUM(F237*G237)</f>
        <v>0</v>
      </c>
      <c r="J237" s="1548"/>
      <c r="K237" s="1591"/>
    </row>
    <row r="238" spans="1:11" s="1541" customFormat="1">
      <c r="A238" s="1518"/>
      <c r="B238" s="1518"/>
      <c r="C238" s="1522"/>
      <c r="D238" s="1554"/>
      <c r="E238" s="1545"/>
      <c r="F238" s="1594"/>
      <c r="G238" s="1459"/>
      <c r="H238" s="1557"/>
      <c r="J238" s="1548"/>
      <c r="K238" s="1591"/>
    </row>
    <row r="239" spans="1:11" s="1541" customFormat="1" ht="114.75">
      <c r="A239" s="1518" t="str">
        <f>A232</f>
        <v>H.</v>
      </c>
      <c r="B239" s="1518" t="str">
        <f>B232</f>
        <v>2.</v>
      </c>
      <c r="C239" s="1522">
        <f>C232+1</f>
        <v>29</v>
      </c>
      <c r="D239" s="1554" t="s">
        <v>4736</v>
      </c>
      <c r="E239" s="1545"/>
      <c r="F239" s="1594"/>
      <c r="G239" s="1459"/>
      <c r="H239" s="1557"/>
      <c r="J239" s="1548"/>
      <c r="K239" s="1591"/>
    </row>
    <row r="240" spans="1:11" s="1554" customFormat="1">
      <c r="A240" s="1518"/>
      <c r="B240" s="1518"/>
      <c r="D240" s="1543" t="s">
        <v>4641</v>
      </c>
      <c r="E240" s="1545"/>
      <c r="F240" s="1545"/>
      <c r="G240" s="1457"/>
      <c r="H240" s="1561"/>
    </row>
    <row r="241" spans="1:11" s="1541" customFormat="1" ht="229.5">
      <c r="A241" s="1518"/>
      <c r="B241" s="1518"/>
      <c r="C241" s="1522"/>
      <c r="D241" s="1554" t="s">
        <v>4737</v>
      </c>
      <c r="E241" s="1545"/>
      <c r="F241" s="1594"/>
      <c r="G241" s="1459"/>
      <c r="H241" s="1557"/>
      <c r="J241" s="1548"/>
      <c r="K241" s="1591"/>
    </row>
    <row r="242" spans="1:11" s="1554" customFormat="1">
      <c r="A242" s="1518"/>
      <c r="B242" s="1518"/>
      <c r="C242" s="1522"/>
      <c r="D242" s="1543" t="s">
        <v>4738</v>
      </c>
      <c r="E242" s="1545"/>
      <c r="F242" s="1545"/>
      <c r="G242" s="1457"/>
      <c r="H242" s="1561"/>
    </row>
    <row r="243" spans="1:11" s="1562" customFormat="1">
      <c r="A243" s="1522"/>
      <c r="B243" s="1522"/>
      <c r="C243" s="1522"/>
      <c r="D243" s="1552" t="s">
        <v>254</v>
      </c>
      <c r="G243" s="1460"/>
      <c r="H243" s="1561"/>
    </row>
    <row r="244" spans="1:11" s="1541" customFormat="1">
      <c r="A244" s="1518"/>
      <c r="B244" s="1518"/>
      <c r="C244" s="1522" t="s">
        <v>55</v>
      </c>
      <c r="D244" s="1554" t="s">
        <v>4739</v>
      </c>
      <c r="E244" s="1545" t="s">
        <v>34</v>
      </c>
      <c r="F244" s="1594">
        <v>25</v>
      </c>
      <c r="G244" s="1461"/>
      <c r="H244" s="1557">
        <f>SUM(F244*G244)</f>
        <v>0</v>
      </c>
      <c r="J244" s="1548"/>
      <c r="K244" s="1591"/>
    </row>
    <row r="245" spans="1:11" s="1541" customFormat="1">
      <c r="A245" s="1518"/>
      <c r="B245" s="1518"/>
      <c r="C245" s="1522"/>
      <c r="D245" s="1554"/>
      <c r="E245" s="1545"/>
      <c r="F245" s="1594"/>
      <c r="G245" s="1459"/>
      <c r="H245" s="1557"/>
      <c r="J245" s="1548"/>
      <c r="K245" s="1591"/>
    </row>
    <row r="246" spans="1:11" s="1541" customFormat="1" ht="114.75">
      <c r="A246" s="1518" t="str">
        <f>A239</f>
        <v>H.</v>
      </c>
      <c r="B246" s="1518" t="str">
        <f>B239</f>
        <v>2.</v>
      </c>
      <c r="C246" s="1522">
        <f>C239+1</f>
        <v>30</v>
      </c>
      <c r="D246" s="1554" t="s">
        <v>4740</v>
      </c>
      <c r="E246" s="1545"/>
      <c r="F246" s="1594"/>
      <c r="G246" s="1459"/>
      <c r="H246" s="1557"/>
      <c r="J246" s="1548"/>
      <c r="K246" s="1591"/>
    </row>
    <row r="247" spans="1:11" s="1554" customFormat="1">
      <c r="A247" s="1518"/>
      <c r="B247" s="1518"/>
      <c r="D247" s="1543" t="s">
        <v>4641</v>
      </c>
      <c r="E247" s="1545"/>
      <c r="F247" s="1545"/>
      <c r="G247" s="1457"/>
      <c r="H247" s="1561"/>
    </row>
    <row r="248" spans="1:11" s="1541" customFormat="1" ht="229.5">
      <c r="A248" s="1518"/>
      <c r="B248" s="1518"/>
      <c r="C248" s="1522"/>
      <c r="D248" s="1554" t="s">
        <v>4741</v>
      </c>
      <c r="E248" s="1545"/>
      <c r="F248" s="1594"/>
      <c r="G248" s="1459"/>
      <c r="H248" s="1557"/>
      <c r="J248" s="1548"/>
      <c r="K248" s="1591"/>
    </row>
    <row r="249" spans="1:11" s="1554" customFormat="1">
      <c r="A249" s="1518"/>
      <c r="B249" s="1518"/>
      <c r="C249" s="1522"/>
      <c r="D249" s="1543" t="s">
        <v>4742</v>
      </c>
      <c r="E249" s="1545"/>
      <c r="F249" s="1545"/>
      <c r="G249" s="1457"/>
      <c r="H249" s="1561"/>
    </row>
    <row r="250" spans="1:11" s="1562" customFormat="1">
      <c r="A250" s="1522"/>
      <c r="B250" s="1522"/>
      <c r="C250" s="1522"/>
      <c r="D250" s="1552" t="s">
        <v>254</v>
      </c>
      <c r="G250" s="1460"/>
      <c r="H250" s="1561"/>
    </row>
    <row r="251" spans="1:11" s="1541" customFormat="1">
      <c r="A251" s="1518"/>
      <c r="B251" s="1518"/>
      <c r="C251" s="1522" t="s">
        <v>55</v>
      </c>
      <c r="D251" s="1554" t="s">
        <v>4739</v>
      </c>
      <c r="E251" s="1545" t="s">
        <v>34</v>
      </c>
      <c r="F251" s="1594">
        <v>7</v>
      </c>
      <c r="G251" s="1461"/>
      <c r="H251" s="1557">
        <f>SUM(F251*G251)</f>
        <v>0</v>
      </c>
      <c r="J251" s="1548"/>
      <c r="K251" s="1591"/>
    </row>
    <row r="252" spans="1:11" s="1541" customFormat="1">
      <c r="A252" s="1518"/>
      <c r="B252" s="1518"/>
      <c r="C252" s="1522"/>
      <c r="D252" s="1554"/>
      <c r="E252" s="1545"/>
      <c r="F252" s="1594"/>
      <c r="G252" s="1459"/>
      <c r="H252" s="1557"/>
      <c r="J252" s="1548"/>
      <c r="K252" s="1591"/>
    </row>
    <row r="253" spans="1:11" s="1541" customFormat="1" ht="114.75">
      <c r="A253" s="1518" t="str">
        <f>A246</f>
        <v>H.</v>
      </c>
      <c r="B253" s="1518" t="str">
        <f>B246</f>
        <v>2.</v>
      </c>
      <c r="C253" s="1522">
        <f>C246+1</f>
        <v>31</v>
      </c>
      <c r="D253" s="1554" t="s">
        <v>4740</v>
      </c>
      <c r="E253" s="1545"/>
      <c r="F253" s="1594"/>
      <c r="G253" s="1459"/>
      <c r="H253" s="1557"/>
      <c r="J253" s="1548"/>
      <c r="K253" s="1591"/>
    </row>
    <row r="254" spans="1:11" s="1554" customFormat="1">
      <c r="A254" s="1518"/>
      <c r="B254" s="1518"/>
      <c r="D254" s="1543" t="s">
        <v>4641</v>
      </c>
      <c r="E254" s="1545"/>
      <c r="F254" s="1545"/>
      <c r="G254" s="1457"/>
      <c r="H254" s="1561"/>
    </row>
    <row r="255" spans="1:11" s="1541" customFormat="1" ht="229.5">
      <c r="A255" s="1518"/>
      <c r="B255" s="1518"/>
      <c r="C255" s="1522"/>
      <c r="D255" s="1554" t="s">
        <v>4743</v>
      </c>
      <c r="E255" s="1545"/>
      <c r="F255" s="1594"/>
      <c r="G255" s="1459"/>
      <c r="H255" s="1557"/>
      <c r="J255" s="1548"/>
      <c r="K255" s="1591"/>
    </row>
    <row r="256" spans="1:11" s="1554" customFormat="1">
      <c r="A256" s="1518"/>
      <c r="B256" s="1518"/>
      <c r="C256" s="1522"/>
      <c r="D256" s="1543" t="s">
        <v>4744</v>
      </c>
      <c r="E256" s="1545"/>
      <c r="F256" s="1545"/>
      <c r="G256" s="1457"/>
      <c r="H256" s="1561"/>
    </row>
    <row r="257" spans="1:11" s="1562" customFormat="1">
      <c r="A257" s="1522"/>
      <c r="B257" s="1522"/>
      <c r="C257" s="1522"/>
      <c r="D257" s="1552" t="s">
        <v>254</v>
      </c>
      <c r="G257" s="1460"/>
      <c r="H257" s="1561"/>
    </row>
    <row r="258" spans="1:11" s="1541" customFormat="1">
      <c r="A258" s="1518"/>
      <c r="B258" s="1518"/>
      <c r="C258" s="1522" t="s">
        <v>55</v>
      </c>
      <c r="D258" s="1554" t="s">
        <v>4739</v>
      </c>
      <c r="E258" s="1545" t="s">
        <v>34</v>
      </c>
      <c r="F258" s="1594">
        <v>4</v>
      </c>
      <c r="G258" s="1461"/>
      <c r="H258" s="1557">
        <f>SUM(F258*G258)</f>
        <v>0</v>
      </c>
      <c r="J258" s="1548"/>
      <c r="K258" s="1591"/>
    </row>
    <row r="259" spans="1:11" s="1541" customFormat="1">
      <c r="A259" s="1518"/>
      <c r="B259" s="1518"/>
      <c r="C259" s="1522"/>
      <c r="D259" s="1554"/>
      <c r="E259" s="1545"/>
      <c r="F259" s="1594"/>
      <c r="G259" s="1459"/>
      <c r="H259" s="1557"/>
      <c r="J259" s="1548"/>
      <c r="K259" s="1591"/>
    </row>
    <row r="260" spans="1:11" s="1541" customFormat="1" ht="114.75">
      <c r="A260" s="1518" t="str">
        <f>A253</f>
        <v>H.</v>
      </c>
      <c r="B260" s="1518" t="str">
        <f>B253</f>
        <v>2.</v>
      </c>
      <c r="C260" s="1522">
        <f>C253+1</f>
        <v>32</v>
      </c>
      <c r="D260" s="1554" t="s">
        <v>4745</v>
      </c>
      <c r="E260" s="1545"/>
      <c r="F260" s="1594"/>
      <c r="G260" s="1459"/>
      <c r="H260" s="1557"/>
      <c r="J260" s="1548"/>
      <c r="K260" s="1591"/>
    </row>
    <row r="261" spans="1:11" s="1554" customFormat="1">
      <c r="A261" s="1518"/>
      <c r="B261" s="1518"/>
      <c r="D261" s="1543" t="s">
        <v>4641</v>
      </c>
      <c r="E261" s="1545"/>
      <c r="F261" s="1545"/>
      <c r="G261" s="1457"/>
      <c r="H261" s="1561"/>
    </row>
    <row r="262" spans="1:11" s="1541" customFormat="1" ht="191.25">
      <c r="A262" s="1518"/>
      <c r="B262" s="1518"/>
      <c r="C262" s="1522"/>
      <c r="D262" s="1554" t="s">
        <v>4746</v>
      </c>
      <c r="E262" s="1545"/>
      <c r="F262" s="1594"/>
      <c r="G262" s="1459"/>
      <c r="H262" s="1557"/>
      <c r="J262" s="1548"/>
      <c r="K262" s="1591"/>
    </row>
    <row r="263" spans="1:11" s="1554" customFormat="1">
      <c r="A263" s="1518"/>
      <c r="B263" s="1518"/>
      <c r="C263" s="1522"/>
      <c r="D263" s="1543" t="s">
        <v>4747</v>
      </c>
      <c r="E263" s="1545"/>
      <c r="F263" s="1545"/>
      <c r="G263" s="1457"/>
      <c r="H263" s="1561"/>
    </row>
    <row r="264" spans="1:11" s="1562" customFormat="1">
      <c r="A264" s="1522"/>
      <c r="B264" s="1522"/>
      <c r="C264" s="1522"/>
      <c r="D264" s="1552" t="s">
        <v>254</v>
      </c>
      <c r="G264" s="1460"/>
      <c r="H264" s="1561"/>
    </row>
    <row r="265" spans="1:11" s="1541" customFormat="1" ht="25.5">
      <c r="A265" s="1518"/>
      <c r="B265" s="1518"/>
      <c r="C265" s="1522" t="s">
        <v>55</v>
      </c>
      <c r="D265" s="1554" t="s">
        <v>4748</v>
      </c>
      <c r="E265" s="1545" t="s">
        <v>34</v>
      </c>
      <c r="F265" s="1594">
        <v>6</v>
      </c>
      <c r="G265" s="1461"/>
      <c r="H265" s="1557">
        <f>SUM(F265*G265)</f>
        <v>0</v>
      </c>
      <c r="J265" s="1548"/>
      <c r="K265" s="1591"/>
    </row>
    <row r="266" spans="1:11" s="1541" customFormat="1">
      <c r="A266" s="1518"/>
      <c r="B266" s="1518"/>
      <c r="C266" s="1522"/>
      <c r="D266" s="1554"/>
      <c r="E266" s="1545"/>
      <c r="F266" s="1594"/>
      <c r="G266" s="1459"/>
      <c r="H266" s="1557"/>
      <c r="J266" s="1548"/>
      <c r="K266" s="1591"/>
    </row>
    <row r="267" spans="1:11" s="1541" customFormat="1" ht="127.5">
      <c r="A267" s="1518" t="str">
        <f>A260</f>
        <v>H.</v>
      </c>
      <c r="B267" s="1518" t="str">
        <f>B260</f>
        <v>2.</v>
      </c>
      <c r="C267" s="1522">
        <f>C260+1</f>
        <v>33</v>
      </c>
      <c r="D267" s="1554" t="s">
        <v>4749</v>
      </c>
      <c r="E267" s="1545"/>
      <c r="F267" s="1594"/>
      <c r="G267" s="1459"/>
      <c r="H267" s="1557"/>
      <c r="J267" s="1548"/>
      <c r="K267" s="1591"/>
    </row>
    <row r="268" spans="1:11" s="1554" customFormat="1">
      <c r="A268" s="1518"/>
      <c r="B268" s="1518"/>
      <c r="D268" s="1543" t="s">
        <v>4641</v>
      </c>
      <c r="E268" s="1545"/>
      <c r="F268" s="1545"/>
      <c r="G268" s="1457"/>
      <c r="H268" s="1561"/>
    </row>
    <row r="269" spans="1:11" s="1541" customFormat="1" ht="306">
      <c r="A269" s="1518"/>
      <c r="B269" s="1518"/>
      <c r="C269" s="1522"/>
      <c r="D269" s="1554" t="s">
        <v>4750</v>
      </c>
      <c r="E269" s="1545"/>
      <c r="F269" s="1594"/>
      <c r="G269" s="1459"/>
      <c r="H269" s="1557"/>
      <c r="J269" s="1548"/>
      <c r="K269" s="1591"/>
    </row>
    <row r="270" spans="1:11" s="1554" customFormat="1">
      <c r="A270" s="1518"/>
      <c r="B270" s="1518"/>
      <c r="C270" s="1522"/>
      <c r="D270" s="1543" t="s">
        <v>4751</v>
      </c>
      <c r="E270" s="1545"/>
      <c r="F270" s="1545"/>
      <c r="G270" s="1457"/>
      <c r="H270" s="1561"/>
    </row>
    <row r="271" spans="1:11" s="1562" customFormat="1">
      <c r="A271" s="1522"/>
      <c r="B271" s="1522"/>
      <c r="C271" s="1522"/>
      <c r="D271" s="1552" t="s">
        <v>254</v>
      </c>
      <c r="G271" s="1460"/>
      <c r="H271" s="1561"/>
    </row>
    <row r="272" spans="1:11" s="1541" customFormat="1">
      <c r="A272" s="1518"/>
      <c r="B272" s="1518"/>
      <c r="C272" s="1522" t="s">
        <v>55</v>
      </c>
      <c r="D272" s="1554" t="s">
        <v>4752</v>
      </c>
      <c r="E272" s="1545" t="s">
        <v>34</v>
      </c>
      <c r="F272" s="1594">
        <v>17</v>
      </c>
      <c r="G272" s="1461"/>
      <c r="H272" s="1557">
        <f>SUM(F272*G272)</f>
        <v>0</v>
      </c>
      <c r="J272" s="1548"/>
      <c r="K272" s="1591"/>
    </row>
    <row r="273" spans="1:11" s="1541" customFormat="1">
      <c r="A273" s="1518"/>
      <c r="B273" s="1518"/>
      <c r="C273" s="1522"/>
      <c r="D273" s="1554"/>
      <c r="E273" s="1545"/>
      <c r="F273" s="1594"/>
      <c r="G273" s="1459"/>
      <c r="H273" s="1557"/>
      <c r="J273" s="1548"/>
      <c r="K273" s="1591"/>
    </row>
    <row r="274" spans="1:11" s="1541" customFormat="1" ht="102">
      <c r="A274" s="1518" t="str">
        <f>A267</f>
        <v>H.</v>
      </c>
      <c r="B274" s="1518" t="str">
        <f>B267</f>
        <v>2.</v>
      </c>
      <c r="C274" s="1522">
        <f>C267+1</f>
        <v>34</v>
      </c>
      <c r="D274" s="1554" t="s">
        <v>4753</v>
      </c>
      <c r="E274" s="1545"/>
      <c r="F274" s="1594"/>
      <c r="G274" s="1459"/>
      <c r="H274" s="1557"/>
      <c r="J274" s="1548"/>
      <c r="K274" s="1591"/>
    </row>
    <row r="275" spans="1:11" s="1554" customFormat="1">
      <c r="A275" s="1518"/>
      <c r="B275" s="1518"/>
      <c r="D275" s="1543" t="s">
        <v>4641</v>
      </c>
      <c r="E275" s="1545"/>
      <c r="F275" s="1545"/>
      <c r="G275" s="1457"/>
      <c r="H275" s="1561"/>
    </row>
    <row r="276" spans="1:11" s="1541" customFormat="1" ht="76.5">
      <c r="A276" s="1518"/>
      <c r="B276" s="1518"/>
      <c r="C276" s="1522"/>
      <c r="D276" s="1554" t="s">
        <v>4754</v>
      </c>
      <c r="E276" s="1545"/>
      <c r="F276" s="1594"/>
      <c r="G276" s="1459"/>
      <c r="H276" s="1557"/>
      <c r="J276" s="1548"/>
      <c r="K276" s="1591"/>
    </row>
    <row r="277" spans="1:11" s="1554" customFormat="1">
      <c r="A277" s="1518"/>
      <c r="B277" s="1518"/>
      <c r="C277" s="1522"/>
      <c r="D277" s="1543" t="s">
        <v>4755</v>
      </c>
      <c r="E277" s="1545"/>
      <c r="F277" s="1545"/>
      <c r="G277" s="1457"/>
      <c r="H277" s="1561"/>
    </row>
    <row r="278" spans="1:11" s="1562" customFormat="1">
      <c r="A278" s="1522"/>
      <c r="B278" s="1522"/>
      <c r="C278" s="1522"/>
      <c r="D278" s="1552" t="s">
        <v>254</v>
      </c>
      <c r="G278" s="1460"/>
      <c r="H278" s="1561"/>
    </row>
    <row r="279" spans="1:11" s="1541" customFormat="1">
      <c r="A279" s="1518"/>
      <c r="B279" s="1518"/>
      <c r="C279" s="1522" t="s">
        <v>55</v>
      </c>
      <c r="D279" s="1554" t="s">
        <v>4703</v>
      </c>
      <c r="E279" s="1545" t="s">
        <v>34</v>
      </c>
      <c r="F279" s="1594">
        <v>4</v>
      </c>
      <c r="G279" s="1461"/>
      <c r="H279" s="1557">
        <f>SUM(F279*G279)</f>
        <v>0</v>
      </c>
      <c r="J279" s="1548"/>
      <c r="K279" s="1591"/>
    </row>
    <row r="280" spans="1:11" s="1541" customFormat="1">
      <c r="A280" s="1518"/>
      <c r="B280" s="1518"/>
      <c r="C280" s="1522"/>
      <c r="D280" s="1554"/>
      <c r="E280" s="1545"/>
      <c r="F280" s="1594"/>
      <c r="G280" s="1459"/>
      <c r="H280" s="1557"/>
      <c r="J280" s="1548"/>
      <c r="K280" s="1591"/>
    </row>
    <row r="281" spans="1:11" s="1541" customFormat="1" ht="114.75">
      <c r="A281" s="1518" t="str">
        <f>A274</f>
        <v>H.</v>
      </c>
      <c r="B281" s="1518" t="str">
        <f>B274</f>
        <v>2.</v>
      </c>
      <c r="C281" s="1522">
        <f>C274+1</f>
        <v>35</v>
      </c>
      <c r="D281" s="1554" t="s">
        <v>4756</v>
      </c>
      <c r="E281" s="1545"/>
      <c r="F281" s="1594"/>
      <c r="G281" s="1459"/>
      <c r="H281" s="1557"/>
      <c r="J281" s="1548"/>
      <c r="K281" s="1591"/>
    </row>
    <row r="282" spans="1:11" s="1554" customFormat="1">
      <c r="A282" s="1518"/>
      <c r="B282" s="1518"/>
      <c r="D282" s="1543" t="s">
        <v>4641</v>
      </c>
      <c r="E282" s="1545"/>
      <c r="F282" s="1545"/>
      <c r="G282" s="1457"/>
      <c r="H282" s="1561"/>
    </row>
    <row r="283" spans="1:11" s="1541" customFormat="1" ht="216.75">
      <c r="A283" s="1518"/>
      <c r="B283" s="1518"/>
      <c r="C283" s="1522"/>
      <c r="D283" s="1554" t="s">
        <v>4757</v>
      </c>
      <c r="E283" s="1545"/>
      <c r="F283" s="1594"/>
      <c r="G283" s="1459"/>
      <c r="H283" s="1557"/>
      <c r="J283" s="1548"/>
      <c r="K283" s="1591"/>
    </row>
    <row r="284" spans="1:11" s="1554" customFormat="1">
      <c r="A284" s="1518"/>
      <c r="B284" s="1518"/>
      <c r="C284" s="1522"/>
      <c r="D284" s="1543" t="s">
        <v>4758</v>
      </c>
      <c r="E284" s="1545"/>
      <c r="F284" s="1545"/>
      <c r="G284" s="1457"/>
      <c r="H284" s="1561"/>
    </row>
    <row r="285" spans="1:11" s="1562" customFormat="1">
      <c r="A285" s="1522"/>
      <c r="B285" s="1522"/>
      <c r="C285" s="1522"/>
      <c r="D285" s="1552" t="s">
        <v>254</v>
      </c>
      <c r="G285" s="1460"/>
      <c r="H285" s="1561"/>
    </row>
    <row r="286" spans="1:11" s="1541" customFormat="1">
      <c r="A286" s="1518"/>
      <c r="B286" s="1518"/>
      <c r="C286" s="1522" t="s">
        <v>55</v>
      </c>
      <c r="D286" s="1554" t="s">
        <v>4759</v>
      </c>
      <c r="E286" s="1545" t="s">
        <v>34</v>
      </c>
      <c r="F286" s="1594">
        <v>2</v>
      </c>
      <c r="G286" s="1461"/>
      <c r="H286" s="1557">
        <f>SUM(F286*G286)</f>
        <v>0</v>
      </c>
      <c r="J286" s="1548"/>
      <c r="K286" s="1591"/>
    </row>
    <row r="287" spans="1:11" s="1541" customFormat="1">
      <c r="A287" s="1518"/>
      <c r="B287" s="1518"/>
      <c r="C287" s="1522"/>
      <c r="D287" s="1554"/>
      <c r="E287" s="1545"/>
      <c r="F287" s="1594"/>
      <c r="G287" s="1459"/>
      <c r="H287" s="1557"/>
      <c r="J287" s="1548"/>
      <c r="K287" s="1591"/>
    </row>
    <row r="288" spans="1:11" s="1541" customFormat="1" ht="127.5">
      <c r="A288" s="1518" t="str">
        <f>A281</f>
        <v>H.</v>
      </c>
      <c r="B288" s="1518" t="str">
        <f>B281</f>
        <v>2.</v>
      </c>
      <c r="C288" s="1522">
        <f>C281+1</f>
        <v>36</v>
      </c>
      <c r="D288" s="1554" t="s">
        <v>4760</v>
      </c>
      <c r="E288" s="1545"/>
      <c r="F288" s="1594"/>
      <c r="G288" s="1459"/>
      <c r="H288" s="1557"/>
      <c r="J288" s="1548"/>
      <c r="K288" s="1591"/>
    </row>
    <row r="289" spans="1:11" s="1554" customFormat="1">
      <c r="A289" s="1518"/>
      <c r="B289" s="1518"/>
      <c r="D289" s="1543" t="s">
        <v>4641</v>
      </c>
      <c r="E289" s="1545"/>
      <c r="F289" s="1545"/>
      <c r="G289" s="1457"/>
      <c r="H289" s="1561"/>
    </row>
    <row r="290" spans="1:11" s="1541" customFormat="1" ht="229.5">
      <c r="A290" s="1518"/>
      <c r="B290" s="1518"/>
      <c r="C290" s="1522"/>
      <c r="D290" s="1554" t="s">
        <v>4761</v>
      </c>
      <c r="E290" s="1545"/>
      <c r="F290" s="1594"/>
      <c r="G290" s="1459"/>
      <c r="H290" s="1557"/>
      <c r="J290" s="1548"/>
      <c r="K290" s="1591"/>
    </row>
    <row r="291" spans="1:11" s="1554" customFormat="1">
      <c r="A291" s="1518"/>
      <c r="B291" s="1518"/>
      <c r="C291" s="1522"/>
      <c r="D291" s="1543" t="s">
        <v>4762</v>
      </c>
      <c r="E291" s="1545"/>
      <c r="F291" s="1545"/>
      <c r="G291" s="1457"/>
      <c r="H291" s="1561"/>
    </row>
    <row r="292" spans="1:11" s="1562" customFormat="1">
      <c r="A292" s="1522"/>
      <c r="B292" s="1522"/>
      <c r="C292" s="1522"/>
      <c r="D292" s="1552" t="s">
        <v>254</v>
      </c>
      <c r="G292" s="1460"/>
      <c r="H292" s="1561"/>
    </row>
    <row r="293" spans="1:11" s="1541" customFormat="1">
      <c r="A293" s="1518"/>
      <c r="B293" s="1518"/>
      <c r="C293" s="1522" t="s">
        <v>55</v>
      </c>
      <c r="D293" s="1554" t="s">
        <v>4739</v>
      </c>
      <c r="E293" s="1545" t="s">
        <v>34</v>
      </c>
      <c r="F293" s="1594">
        <v>6</v>
      </c>
      <c r="G293" s="1461"/>
      <c r="H293" s="1557">
        <f>SUM(F293*G293)</f>
        <v>0</v>
      </c>
      <c r="J293" s="1548"/>
      <c r="K293" s="1591"/>
    </row>
    <row r="294" spans="1:11" s="1541" customFormat="1">
      <c r="A294" s="1518"/>
      <c r="B294" s="1518"/>
      <c r="C294" s="1522"/>
      <c r="D294" s="1554"/>
      <c r="E294" s="1545"/>
      <c r="F294" s="1594"/>
      <c r="G294" s="1459"/>
      <c r="H294" s="1557"/>
      <c r="J294" s="1548"/>
      <c r="K294" s="1591"/>
    </row>
    <row r="295" spans="1:11" s="1541" customFormat="1" ht="102">
      <c r="A295" s="1518" t="str">
        <f>A288</f>
        <v>H.</v>
      </c>
      <c r="B295" s="1518" t="str">
        <f>B288</f>
        <v>2.</v>
      </c>
      <c r="C295" s="1522">
        <f>C288+1</f>
        <v>37</v>
      </c>
      <c r="D295" s="1554" t="s">
        <v>4763</v>
      </c>
      <c r="E295" s="1545"/>
      <c r="F295" s="1594"/>
      <c r="G295" s="1459"/>
      <c r="H295" s="1557"/>
      <c r="J295" s="1548"/>
      <c r="K295" s="1591"/>
    </row>
    <row r="296" spans="1:11" s="1554" customFormat="1">
      <c r="A296" s="1518"/>
      <c r="B296" s="1518"/>
      <c r="D296" s="1543" t="s">
        <v>4641</v>
      </c>
      <c r="E296" s="1545"/>
      <c r="F296" s="1545"/>
      <c r="G296" s="1457"/>
      <c r="H296" s="1561"/>
    </row>
    <row r="297" spans="1:11" s="1541" customFormat="1" ht="191.25">
      <c r="A297" s="1518"/>
      <c r="B297" s="1518"/>
      <c r="C297" s="1522"/>
      <c r="D297" s="1554" t="s">
        <v>4764</v>
      </c>
      <c r="E297" s="1545"/>
      <c r="F297" s="1594"/>
      <c r="G297" s="1459"/>
      <c r="H297" s="1557"/>
      <c r="J297" s="1548"/>
      <c r="K297" s="1591"/>
    </row>
    <row r="298" spans="1:11" s="1554" customFormat="1">
      <c r="A298" s="1518"/>
      <c r="B298" s="1518"/>
      <c r="C298" s="1522"/>
      <c r="D298" s="1543" t="s">
        <v>4765</v>
      </c>
      <c r="E298" s="1545"/>
      <c r="F298" s="1545"/>
      <c r="G298" s="1457"/>
      <c r="H298" s="1561"/>
    </row>
    <row r="299" spans="1:11" s="1562" customFormat="1">
      <c r="A299" s="1522"/>
      <c r="B299" s="1522"/>
      <c r="C299" s="1522"/>
      <c r="D299" s="1552" t="s">
        <v>254</v>
      </c>
      <c r="G299" s="1460"/>
      <c r="H299" s="1561"/>
    </row>
    <row r="300" spans="1:11" s="1541" customFormat="1">
      <c r="A300" s="1518"/>
      <c r="B300" s="1518"/>
      <c r="C300" s="1522" t="s">
        <v>55</v>
      </c>
      <c r="D300" s="1554" t="s">
        <v>4759</v>
      </c>
      <c r="E300" s="1545" t="s">
        <v>34</v>
      </c>
      <c r="F300" s="1594">
        <v>1</v>
      </c>
      <c r="G300" s="1461"/>
      <c r="H300" s="1557">
        <f>SUM(F300*G300)</f>
        <v>0</v>
      </c>
      <c r="J300" s="1548"/>
      <c r="K300" s="1591"/>
    </row>
    <row r="301" spans="1:11" s="1541" customFormat="1">
      <c r="A301" s="1518"/>
      <c r="B301" s="1518"/>
      <c r="C301" s="1522"/>
      <c r="D301" s="1554"/>
      <c r="E301" s="1545"/>
      <c r="F301" s="1594"/>
      <c r="G301" s="1459"/>
      <c r="H301" s="1557"/>
      <c r="J301" s="1548"/>
      <c r="K301" s="1591"/>
    </row>
    <row r="302" spans="1:11" s="1541" customFormat="1" ht="38.25">
      <c r="A302" s="1518" t="str">
        <f>A295</f>
        <v>H.</v>
      </c>
      <c r="B302" s="1518" t="str">
        <f>B295</f>
        <v>2.</v>
      </c>
      <c r="C302" s="1522">
        <f>C295+1</f>
        <v>38</v>
      </c>
      <c r="D302" s="1554" t="s">
        <v>4766</v>
      </c>
      <c r="E302" s="1545"/>
      <c r="F302" s="1594"/>
      <c r="G302" s="1459"/>
      <c r="H302" s="1557"/>
      <c r="J302" s="1548"/>
      <c r="K302" s="1591"/>
    </row>
    <row r="303" spans="1:11" s="1554" customFormat="1">
      <c r="A303" s="1518"/>
      <c r="B303" s="1518"/>
      <c r="D303" s="1543" t="s">
        <v>4641</v>
      </c>
      <c r="E303" s="1545"/>
      <c r="F303" s="1545"/>
      <c r="G303" s="1457"/>
      <c r="H303" s="1561"/>
    </row>
    <row r="304" spans="1:11" s="1541" customFormat="1" ht="89.25">
      <c r="A304" s="1518"/>
      <c r="B304" s="1518"/>
      <c r="C304" s="1522"/>
      <c r="D304" s="1554" t="s">
        <v>4767</v>
      </c>
      <c r="E304" s="1545"/>
      <c r="F304" s="1594"/>
      <c r="G304" s="1459"/>
      <c r="H304" s="1557"/>
      <c r="J304" s="1548"/>
      <c r="K304" s="1591"/>
    </row>
    <row r="305" spans="1:11" s="1554" customFormat="1">
      <c r="A305" s="1518"/>
      <c r="B305" s="1518"/>
      <c r="C305" s="1522"/>
      <c r="D305" s="1543" t="s">
        <v>4699</v>
      </c>
      <c r="E305" s="1545"/>
      <c r="F305" s="1545"/>
      <c r="G305" s="1457"/>
      <c r="H305" s="1561"/>
    </row>
    <row r="306" spans="1:11" s="1562" customFormat="1">
      <c r="A306" s="1522"/>
      <c r="B306" s="1522"/>
      <c r="C306" s="1522"/>
      <c r="D306" s="1552" t="s">
        <v>254</v>
      </c>
      <c r="G306" s="1460"/>
      <c r="H306" s="1561"/>
    </row>
    <row r="307" spans="1:11" s="1541" customFormat="1">
      <c r="A307" s="1518"/>
      <c r="B307" s="1518"/>
      <c r="C307" s="1522" t="s">
        <v>55</v>
      </c>
      <c r="D307" s="1554" t="s">
        <v>4707</v>
      </c>
      <c r="E307" s="1545" t="s">
        <v>1160</v>
      </c>
      <c r="F307" s="1594">
        <v>12</v>
      </c>
      <c r="G307" s="1461"/>
      <c r="H307" s="1557">
        <f>SUM(F307*G307)</f>
        <v>0</v>
      </c>
      <c r="I307" s="1565"/>
      <c r="J307" s="1548"/>
      <c r="K307" s="1591"/>
    </row>
    <row r="308" spans="1:11" s="1541" customFormat="1">
      <c r="A308" s="1518"/>
      <c r="B308" s="1518"/>
      <c r="C308" s="1522"/>
      <c r="D308" s="1554"/>
      <c r="E308" s="1545"/>
      <c r="F308" s="1594"/>
      <c r="G308" s="1459"/>
      <c r="H308" s="1557"/>
      <c r="J308" s="1548"/>
      <c r="K308" s="1591"/>
    </row>
    <row r="309" spans="1:11" s="1541" customFormat="1" ht="76.5">
      <c r="A309" s="1518" t="str">
        <f>A302</f>
        <v>H.</v>
      </c>
      <c r="B309" s="1518" t="str">
        <f>B302</f>
        <v>2.</v>
      </c>
      <c r="C309" s="1522">
        <f>C302+1</f>
        <v>39</v>
      </c>
      <c r="D309" s="1554" t="s">
        <v>4768</v>
      </c>
      <c r="E309" s="1545"/>
      <c r="F309" s="1594"/>
      <c r="G309" s="1459"/>
      <c r="H309" s="1557"/>
      <c r="J309" s="1548"/>
      <c r="K309" s="1591"/>
    </row>
    <row r="310" spans="1:11" s="1554" customFormat="1">
      <c r="A310" s="1518"/>
      <c r="B310" s="1518"/>
      <c r="D310" s="1543" t="s">
        <v>4641</v>
      </c>
      <c r="E310" s="1545"/>
      <c r="F310" s="1545"/>
      <c r="G310" s="1457"/>
      <c r="H310" s="1561"/>
    </row>
    <row r="311" spans="1:11" s="1541" customFormat="1" ht="63.75">
      <c r="A311" s="1518"/>
      <c r="B311" s="1518"/>
      <c r="C311" s="1522"/>
      <c r="D311" s="1554" t="s">
        <v>4769</v>
      </c>
      <c r="E311" s="1545"/>
      <c r="F311" s="1594"/>
      <c r="G311" s="1459"/>
      <c r="H311" s="1557"/>
      <c r="J311" s="1548"/>
      <c r="K311" s="1591"/>
    </row>
    <row r="312" spans="1:11" s="1554" customFormat="1">
      <c r="A312" s="1518"/>
      <c r="B312" s="1518"/>
      <c r="C312" s="1522"/>
      <c r="D312" s="1543" t="s">
        <v>4770</v>
      </c>
      <c r="E312" s="1545"/>
      <c r="F312" s="1545"/>
      <c r="G312" s="1457"/>
      <c r="H312" s="1561"/>
    </row>
    <row r="313" spans="1:11" s="1562" customFormat="1">
      <c r="A313" s="1522"/>
      <c r="B313" s="1522"/>
      <c r="C313" s="1522"/>
      <c r="D313" s="1552" t="s">
        <v>254</v>
      </c>
      <c r="G313" s="1460"/>
      <c r="H313" s="1561"/>
    </row>
    <row r="314" spans="1:11" s="1541" customFormat="1">
      <c r="A314" s="1518"/>
      <c r="B314" s="1518"/>
      <c r="C314" s="1522" t="s">
        <v>55</v>
      </c>
      <c r="D314" s="1554" t="s">
        <v>4703</v>
      </c>
      <c r="E314" s="1545" t="s">
        <v>34</v>
      </c>
      <c r="F314" s="1594">
        <v>1</v>
      </c>
      <c r="G314" s="1461"/>
      <c r="H314" s="1557">
        <f>SUM(F314*G314)</f>
        <v>0</v>
      </c>
      <c r="J314" s="1548"/>
      <c r="K314" s="1591"/>
    </row>
    <row r="315" spans="1:11" s="1541" customFormat="1">
      <c r="A315" s="1518"/>
      <c r="B315" s="1518"/>
      <c r="C315" s="1522"/>
      <c r="D315" s="1554"/>
      <c r="E315" s="1545"/>
      <c r="F315" s="1594"/>
      <c r="G315" s="1459"/>
      <c r="H315" s="1557"/>
      <c r="J315" s="1548"/>
      <c r="K315" s="1591"/>
    </row>
    <row r="316" spans="1:11" s="1541" customFormat="1">
      <c r="A316" s="1518"/>
      <c r="B316" s="1518"/>
      <c r="C316" s="1522" t="s">
        <v>4635</v>
      </c>
      <c r="D316" s="1566" t="s">
        <v>4771</v>
      </c>
      <c r="E316" s="1545"/>
      <c r="F316" s="1545"/>
      <c r="G316" s="1459"/>
      <c r="H316" s="1557"/>
      <c r="J316" s="1548"/>
      <c r="K316" s="1591"/>
    </row>
    <row r="317" spans="1:11" s="1541" customFormat="1">
      <c r="A317" s="1518"/>
      <c r="B317" s="1518"/>
      <c r="C317" s="1522"/>
      <c r="D317" s="1566"/>
      <c r="E317" s="1545"/>
      <c r="F317" s="1545"/>
      <c r="G317" s="1459"/>
      <c r="H317" s="1557"/>
      <c r="J317" s="1548"/>
      <c r="K317" s="1591"/>
    </row>
    <row r="318" spans="1:11" s="1541" customFormat="1" ht="102">
      <c r="A318" s="1518" t="str">
        <f>A35</f>
        <v>H.</v>
      </c>
      <c r="B318" s="1518" t="str">
        <f>B35</f>
        <v>2.</v>
      </c>
      <c r="C318" s="1522">
        <f>C309+1</f>
        <v>40</v>
      </c>
      <c r="D318" s="1554" t="s">
        <v>4772</v>
      </c>
      <c r="E318" s="1545"/>
      <c r="F318" s="1594"/>
      <c r="G318" s="1459"/>
      <c r="H318" s="1557"/>
      <c r="J318" s="1548"/>
      <c r="K318" s="1591"/>
    </row>
    <row r="319" spans="1:11" s="1554" customFormat="1">
      <c r="A319" s="1518"/>
      <c r="B319" s="1518"/>
      <c r="D319" s="1543" t="s">
        <v>4641</v>
      </c>
      <c r="E319" s="1545"/>
      <c r="F319" s="1545"/>
      <c r="G319" s="1457"/>
      <c r="H319" s="1561"/>
    </row>
    <row r="320" spans="1:11" s="1541" customFormat="1">
      <c r="A320" s="1518"/>
      <c r="B320" s="1518"/>
      <c r="C320" s="1522"/>
      <c r="D320" s="1567" t="s">
        <v>4773</v>
      </c>
      <c r="E320" s="1545"/>
      <c r="F320" s="1594"/>
      <c r="G320" s="1459"/>
      <c r="H320" s="1557"/>
      <c r="J320" s="1548"/>
      <c r="K320" s="1591"/>
    </row>
    <row r="321" spans="1:11" s="1541" customFormat="1">
      <c r="A321" s="1518"/>
      <c r="B321" s="1518"/>
      <c r="C321" s="1522"/>
      <c r="D321" s="1595" t="s">
        <v>4774</v>
      </c>
      <c r="E321" s="1545"/>
      <c r="F321" s="1594"/>
      <c r="G321" s="1459"/>
      <c r="H321" s="1557"/>
      <c r="J321" s="1548"/>
      <c r="K321" s="1591"/>
    </row>
    <row r="322" spans="1:11" s="1541" customFormat="1">
      <c r="A322" s="1518"/>
      <c r="B322" s="1518"/>
      <c r="C322" s="1522"/>
      <c r="D322" s="1595" t="s">
        <v>4775</v>
      </c>
      <c r="E322" s="1545"/>
      <c r="F322" s="1594"/>
      <c r="G322" s="1459"/>
      <c r="H322" s="1557"/>
      <c r="J322" s="1548"/>
      <c r="K322" s="1591"/>
    </row>
    <row r="323" spans="1:11" s="1541" customFormat="1">
      <c r="A323" s="1518"/>
      <c r="B323" s="1518"/>
      <c r="C323" s="1522"/>
      <c r="D323" s="1567" t="s">
        <v>4776</v>
      </c>
      <c r="E323" s="1545"/>
      <c r="F323" s="1594"/>
      <c r="G323" s="1459"/>
      <c r="H323" s="1557"/>
      <c r="J323" s="1548"/>
      <c r="K323" s="1591"/>
    </row>
    <row r="324" spans="1:11" s="1541" customFormat="1">
      <c r="A324" s="1518"/>
      <c r="B324" s="1518"/>
      <c r="C324" s="1522"/>
      <c r="D324" s="1567" t="s">
        <v>4777</v>
      </c>
      <c r="E324" s="1545"/>
      <c r="F324" s="1594"/>
      <c r="G324" s="1459"/>
      <c r="H324" s="1557"/>
      <c r="J324" s="1548"/>
      <c r="K324" s="1591"/>
    </row>
    <row r="325" spans="1:11" s="1541" customFormat="1">
      <c r="A325" s="1518"/>
      <c r="B325" s="1518"/>
      <c r="C325" s="1522"/>
      <c r="D325" s="1567" t="s">
        <v>4778</v>
      </c>
      <c r="E325" s="1545"/>
      <c r="F325" s="1594"/>
      <c r="G325" s="1459"/>
      <c r="H325" s="1557"/>
      <c r="J325" s="1548"/>
      <c r="K325" s="1591"/>
    </row>
    <row r="326" spans="1:11" s="1541" customFormat="1">
      <c r="A326" s="1518"/>
      <c r="B326" s="1518"/>
      <c r="C326" s="1522"/>
      <c r="D326" s="1567" t="s">
        <v>4779</v>
      </c>
      <c r="E326" s="1545"/>
      <c r="F326" s="1594"/>
      <c r="G326" s="1459"/>
      <c r="H326" s="1557"/>
      <c r="J326" s="1548"/>
      <c r="K326" s="1591"/>
    </row>
    <row r="327" spans="1:11" s="1541" customFormat="1">
      <c r="A327" s="1518"/>
      <c r="B327" s="1518"/>
      <c r="C327" s="1522"/>
      <c r="D327" s="1567" t="s">
        <v>4780</v>
      </c>
      <c r="E327" s="1545"/>
      <c r="F327" s="1594"/>
      <c r="G327" s="1459"/>
      <c r="H327" s="1557"/>
      <c r="J327" s="1548"/>
      <c r="K327" s="1591"/>
    </row>
    <row r="328" spans="1:11" s="1541" customFormat="1">
      <c r="A328" s="1518"/>
      <c r="B328" s="1518"/>
      <c r="C328" s="1522"/>
      <c r="D328" s="1567" t="s">
        <v>4781</v>
      </c>
      <c r="E328" s="1545"/>
      <c r="F328" s="1594"/>
      <c r="G328" s="1459"/>
      <c r="H328" s="1557"/>
      <c r="J328" s="1548"/>
      <c r="K328" s="1591"/>
    </row>
    <row r="329" spans="1:11" s="1541" customFormat="1">
      <c r="A329" s="1518"/>
      <c r="B329" s="1518"/>
      <c r="C329" s="1522"/>
      <c r="D329" s="1567" t="s">
        <v>4782</v>
      </c>
      <c r="E329" s="1545"/>
      <c r="F329" s="1594"/>
      <c r="G329" s="1459"/>
      <c r="H329" s="1557"/>
      <c r="J329" s="1548"/>
      <c r="K329" s="1591"/>
    </row>
    <row r="330" spans="1:11" s="1541" customFormat="1">
      <c r="A330" s="1518"/>
      <c r="B330" s="1518"/>
      <c r="C330" s="1522"/>
      <c r="D330" s="1567" t="s">
        <v>4783</v>
      </c>
      <c r="E330" s="1545"/>
      <c r="F330" s="1594"/>
      <c r="G330" s="1459"/>
      <c r="H330" s="1557"/>
      <c r="J330" s="1548"/>
      <c r="K330" s="1591"/>
    </row>
    <row r="331" spans="1:11" s="1541" customFormat="1">
      <c r="A331" s="1518"/>
      <c r="B331" s="1518"/>
      <c r="C331" s="1522"/>
      <c r="D331" s="1567" t="s">
        <v>4784</v>
      </c>
      <c r="E331" s="1545"/>
      <c r="F331" s="1594"/>
      <c r="G331" s="1459"/>
      <c r="H331" s="1557"/>
      <c r="J331" s="1548"/>
      <c r="K331" s="1591"/>
    </row>
    <row r="332" spans="1:11" s="1541" customFormat="1">
      <c r="A332" s="1518"/>
      <c r="B332" s="1518"/>
      <c r="C332" s="1522"/>
      <c r="D332" s="1567" t="s">
        <v>4785</v>
      </c>
      <c r="E332" s="1545"/>
      <c r="F332" s="1594"/>
      <c r="G332" s="1459"/>
      <c r="H332" s="1557"/>
      <c r="J332" s="1548"/>
      <c r="K332" s="1591"/>
    </row>
    <row r="333" spans="1:11" s="1541" customFormat="1">
      <c r="A333" s="1518"/>
      <c r="B333" s="1518"/>
      <c r="C333" s="1522"/>
      <c r="D333" s="1567" t="s">
        <v>4786</v>
      </c>
      <c r="E333" s="1545"/>
      <c r="F333" s="1594"/>
      <c r="G333" s="1459"/>
      <c r="H333" s="1557"/>
      <c r="J333" s="1548"/>
      <c r="K333" s="1591"/>
    </row>
    <row r="334" spans="1:11" s="1562" customFormat="1">
      <c r="A334" s="1522"/>
      <c r="B334" s="1522"/>
      <c r="C334" s="1522"/>
      <c r="D334" s="1552" t="s">
        <v>254</v>
      </c>
      <c r="G334" s="1460"/>
      <c r="H334" s="1561"/>
    </row>
    <row r="335" spans="1:11" s="1541" customFormat="1">
      <c r="A335" s="1518"/>
      <c r="B335" s="1518"/>
      <c r="C335" s="1522" t="s">
        <v>55</v>
      </c>
      <c r="D335" s="1516" t="s">
        <v>4787</v>
      </c>
      <c r="E335" s="1545" t="s">
        <v>34</v>
      </c>
      <c r="F335" s="1545">
        <v>2</v>
      </c>
      <c r="G335" s="1461"/>
      <c r="H335" s="1557">
        <f>SUM(F335*G335)</f>
        <v>0</v>
      </c>
      <c r="J335" s="1548"/>
      <c r="K335" s="1591"/>
    </row>
    <row r="336" spans="1:11" s="1541" customFormat="1">
      <c r="A336" s="1518"/>
      <c r="B336" s="1518"/>
      <c r="C336" s="1522"/>
      <c r="D336" s="1554"/>
      <c r="E336" s="1545"/>
      <c r="F336" s="1594"/>
      <c r="G336" s="1459"/>
      <c r="H336" s="1557"/>
      <c r="J336" s="1548"/>
      <c r="K336" s="1591"/>
    </row>
    <row r="337" spans="1:11" s="1541" customFormat="1" ht="89.25">
      <c r="A337" s="1518" t="str">
        <f>A318</f>
        <v>H.</v>
      </c>
      <c r="B337" s="1518" t="str">
        <f t="shared" ref="B337" si="1">B318</f>
        <v>2.</v>
      </c>
      <c r="C337" s="1518">
        <f>C318+1</f>
        <v>41</v>
      </c>
      <c r="D337" s="1554" t="s">
        <v>4788</v>
      </c>
      <c r="E337" s="1545"/>
      <c r="F337" s="1594"/>
      <c r="G337" s="1459"/>
      <c r="H337" s="1557"/>
      <c r="J337" s="1548"/>
      <c r="K337" s="1591"/>
    </row>
    <row r="338" spans="1:11" s="1554" customFormat="1">
      <c r="A338" s="1518"/>
      <c r="B338" s="1518"/>
      <c r="D338" s="1543" t="s">
        <v>4641</v>
      </c>
      <c r="E338" s="1545"/>
      <c r="F338" s="1545"/>
      <c r="G338" s="1457"/>
      <c r="H338" s="1561"/>
    </row>
    <row r="339" spans="1:11" s="1541" customFormat="1">
      <c r="A339" s="1518"/>
      <c r="B339" s="1518"/>
      <c r="C339" s="1522"/>
      <c r="D339" s="1567" t="s">
        <v>4773</v>
      </c>
      <c r="E339" s="1545"/>
      <c r="F339" s="1594"/>
      <c r="G339" s="1459"/>
      <c r="H339" s="1557"/>
      <c r="J339" s="1548"/>
      <c r="K339" s="1591"/>
    </row>
    <row r="340" spans="1:11" s="1541" customFormat="1">
      <c r="A340" s="1518"/>
      <c r="B340" s="1518"/>
      <c r="C340" s="1522"/>
      <c r="D340" s="1595" t="s">
        <v>4774</v>
      </c>
      <c r="E340" s="1545"/>
      <c r="F340" s="1594"/>
      <c r="G340" s="1459"/>
      <c r="H340" s="1557"/>
      <c r="J340" s="1548"/>
      <c r="K340" s="1591"/>
    </row>
    <row r="341" spans="1:11" s="1541" customFormat="1">
      <c r="A341" s="1518"/>
      <c r="B341" s="1518"/>
      <c r="C341" s="1522"/>
      <c r="D341" s="1595" t="s">
        <v>4775</v>
      </c>
      <c r="E341" s="1545"/>
      <c r="F341" s="1594"/>
      <c r="G341" s="1459"/>
      <c r="H341" s="1557"/>
      <c r="J341" s="1548"/>
      <c r="K341" s="1591"/>
    </row>
    <row r="342" spans="1:11" s="1541" customFormat="1">
      <c r="A342" s="1518"/>
      <c r="B342" s="1518"/>
      <c r="C342" s="1522"/>
      <c r="D342" s="1567" t="s">
        <v>4789</v>
      </c>
      <c r="E342" s="1545"/>
      <c r="F342" s="1594"/>
      <c r="G342" s="1459"/>
      <c r="H342" s="1557"/>
      <c r="J342" s="1548"/>
      <c r="K342" s="1591"/>
    </row>
    <row r="343" spans="1:11" s="1541" customFormat="1">
      <c r="A343" s="1518"/>
      <c r="B343" s="1518"/>
      <c r="C343" s="1522"/>
      <c r="D343" s="1567" t="s">
        <v>4777</v>
      </c>
      <c r="E343" s="1545"/>
      <c r="F343" s="1594"/>
      <c r="G343" s="1459"/>
      <c r="H343" s="1557"/>
      <c r="J343" s="1548"/>
      <c r="K343" s="1591"/>
    </row>
    <row r="344" spans="1:11" s="1541" customFormat="1">
      <c r="A344" s="1518"/>
      <c r="B344" s="1518"/>
      <c r="C344" s="1522"/>
      <c r="D344" s="1567" t="s">
        <v>4790</v>
      </c>
      <c r="E344" s="1545"/>
      <c r="F344" s="1594"/>
      <c r="G344" s="1459"/>
      <c r="H344" s="1557"/>
      <c r="J344" s="1548"/>
      <c r="K344" s="1591"/>
    </row>
    <row r="345" spans="1:11" s="1541" customFormat="1">
      <c r="A345" s="1518"/>
      <c r="B345" s="1518"/>
      <c r="C345" s="1522"/>
      <c r="D345" s="1567" t="s">
        <v>4791</v>
      </c>
      <c r="E345" s="1545"/>
      <c r="F345" s="1594"/>
      <c r="G345" s="1459"/>
      <c r="H345" s="1557"/>
      <c r="J345" s="1548"/>
      <c r="K345" s="1591"/>
    </row>
    <row r="346" spans="1:11" s="1541" customFormat="1">
      <c r="A346" s="1518"/>
      <c r="B346" s="1518"/>
      <c r="C346" s="1522"/>
      <c r="D346" s="1567" t="s">
        <v>4792</v>
      </c>
      <c r="E346" s="1545"/>
      <c r="F346" s="1594"/>
      <c r="G346" s="1459"/>
      <c r="H346" s="1557"/>
      <c r="J346" s="1548"/>
      <c r="K346" s="1591"/>
    </row>
    <row r="347" spans="1:11" s="1541" customFormat="1">
      <c r="A347" s="1518"/>
      <c r="B347" s="1518"/>
      <c r="C347" s="1522"/>
      <c r="D347" s="1567" t="s">
        <v>4793</v>
      </c>
      <c r="E347" s="1545"/>
      <c r="F347" s="1594"/>
      <c r="G347" s="1459"/>
      <c r="H347" s="1557"/>
      <c r="J347" s="1548"/>
      <c r="K347" s="1591"/>
    </row>
    <row r="348" spans="1:11" s="1541" customFormat="1">
      <c r="A348" s="1518"/>
      <c r="B348" s="1518"/>
      <c r="C348" s="1522"/>
      <c r="D348" s="1567" t="s">
        <v>4781</v>
      </c>
      <c r="E348" s="1545"/>
      <c r="F348" s="1594"/>
      <c r="G348" s="1459"/>
      <c r="H348" s="1557"/>
      <c r="J348" s="1548"/>
      <c r="K348" s="1591"/>
    </row>
    <row r="349" spans="1:11" s="1541" customFormat="1">
      <c r="A349" s="1518"/>
      <c r="B349" s="1518"/>
      <c r="C349" s="1522"/>
      <c r="D349" s="1567" t="s">
        <v>4794</v>
      </c>
      <c r="E349" s="1545"/>
      <c r="F349" s="1594"/>
      <c r="G349" s="1459"/>
      <c r="H349" s="1557"/>
      <c r="J349" s="1548"/>
      <c r="K349" s="1591"/>
    </row>
    <row r="350" spans="1:11" s="1541" customFormat="1">
      <c r="A350" s="1518"/>
      <c r="B350" s="1518"/>
      <c r="C350" s="1522"/>
      <c r="D350" s="1567" t="s">
        <v>4795</v>
      </c>
      <c r="E350" s="1545"/>
      <c r="F350" s="1594"/>
      <c r="G350" s="1459"/>
      <c r="H350" s="1557"/>
      <c r="J350" s="1548"/>
      <c r="K350" s="1591"/>
    </row>
    <row r="351" spans="1:11" s="1541" customFormat="1">
      <c r="A351" s="1518"/>
      <c r="B351" s="1518"/>
      <c r="C351" s="1522"/>
      <c r="D351" s="1567" t="s">
        <v>4784</v>
      </c>
      <c r="E351" s="1545"/>
      <c r="F351" s="1594"/>
      <c r="G351" s="1459"/>
      <c r="H351" s="1557"/>
      <c r="J351" s="1548"/>
      <c r="K351" s="1591"/>
    </row>
    <row r="352" spans="1:11" s="1541" customFormat="1">
      <c r="A352" s="1518"/>
      <c r="B352" s="1518"/>
      <c r="C352" s="1522"/>
      <c r="D352" s="1567" t="s">
        <v>4785</v>
      </c>
      <c r="E352" s="1545"/>
      <c r="F352" s="1594"/>
      <c r="G352" s="1459"/>
      <c r="H352" s="1557"/>
      <c r="J352" s="1548"/>
      <c r="K352" s="1591"/>
    </row>
    <row r="353" spans="1:11" s="1541" customFormat="1">
      <c r="A353" s="1518"/>
      <c r="B353" s="1518"/>
      <c r="C353" s="1522"/>
      <c r="D353" s="1567" t="s">
        <v>4796</v>
      </c>
      <c r="E353" s="1545"/>
      <c r="F353" s="1594"/>
      <c r="G353" s="1459"/>
      <c r="H353" s="1557"/>
      <c r="J353" s="1548"/>
      <c r="K353" s="1591"/>
    </row>
    <row r="354" spans="1:11" s="1562" customFormat="1">
      <c r="A354" s="1522"/>
      <c r="B354" s="1522"/>
      <c r="C354" s="1522"/>
      <c r="D354" s="1552" t="s">
        <v>254</v>
      </c>
      <c r="G354" s="1460"/>
      <c r="H354" s="1561"/>
    </row>
    <row r="355" spans="1:11" s="1541" customFormat="1">
      <c r="A355" s="1518"/>
      <c r="B355" s="1518"/>
      <c r="C355" s="1522" t="s">
        <v>55</v>
      </c>
      <c r="D355" s="1516" t="s">
        <v>4797</v>
      </c>
      <c r="E355" s="1545" t="s">
        <v>34</v>
      </c>
      <c r="F355" s="1545">
        <v>9</v>
      </c>
      <c r="G355" s="1461"/>
      <c r="H355" s="1557">
        <f>SUM(F355*G355)</f>
        <v>0</v>
      </c>
      <c r="J355" s="1548"/>
      <c r="K355" s="1591"/>
    </row>
    <row r="356" spans="1:11" s="1541" customFormat="1">
      <c r="A356" s="1518"/>
      <c r="B356" s="1518"/>
      <c r="C356" s="1522"/>
      <c r="D356" s="1554"/>
      <c r="E356" s="1545"/>
      <c r="F356" s="1594"/>
      <c r="G356" s="1459"/>
      <c r="H356" s="1557"/>
      <c r="J356" s="1548"/>
      <c r="K356" s="1591"/>
    </row>
    <row r="357" spans="1:11" s="1541" customFormat="1" ht="25.5">
      <c r="A357" s="1518" t="str">
        <f>A337</f>
        <v>H.</v>
      </c>
      <c r="B357" s="1518" t="str">
        <f t="shared" ref="B357" si="2">B337</f>
        <v>2.</v>
      </c>
      <c r="C357" s="1518">
        <f>C337+1</f>
        <v>42</v>
      </c>
      <c r="D357" s="1554" t="s">
        <v>4798</v>
      </c>
      <c r="E357" s="1545"/>
      <c r="F357" s="1594"/>
      <c r="G357" s="1459"/>
      <c r="H357" s="1557"/>
      <c r="J357" s="1548"/>
      <c r="K357" s="1591"/>
    </row>
    <row r="358" spans="1:11" s="1554" customFormat="1">
      <c r="A358" s="1518"/>
      <c r="B358" s="1518"/>
      <c r="D358" s="1543" t="s">
        <v>4641</v>
      </c>
      <c r="E358" s="1545"/>
      <c r="F358" s="1545"/>
      <c r="G358" s="1457"/>
      <c r="H358" s="1561"/>
    </row>
    <row r="359" spans="1:11" s="1541" customFormat="1">
      <c r="A359" s="1518"/>
      <c r="B359" s="1518"/>
      <c r="C359" s="1563" t="s">
        <v>4799</v>
      </c>
      <c r="D359" s="1596" t="s">
        <v>4800</v>
      </c>
      <c r="E359" s="1545"/>
      <c r="F359" s="1594"/>
      <c r="G359" s="1459"/>
      <c r="H359" s="1557"/>
      <c r="J359" s="1548"/>
      <c r="K359" s="1591"/>
    </row>
    <row r="360" spans="1:11" s="1562" customFormat="1">
      <c r="A360" s="1522"/>
      <c r="B360" s="1522"/>
      <c r="C360" s="1522"/>
      <c r="D360" s="1552" t="s">
        <v>254</v>
      </c>
      <c r="G360" s="1460"/>
      <c r="H360" s="1561"/>
    </row>
    <row r="361" spans="1:11" s="1541" customFormat="1">
      <c r="A361" s="1518"/>
      <c r="B361" s="1518"/>
      <c r="C361" s="1522" t="s">
        <v>55</v>
      </c>
      <c r="D361" s="1554" t="s">
        <v>4801</v>
      </c>
      <c r="E361" s="1545" t="s">
        <v>34</v>
      </c>
      <c r="F361" s="1545">
        <v>9</v>
      </c>
      <c r="G361" s="1461"/>
      <c r="H361" s="1557">
        <f>SUM(F361*G361)</f>
        <v>0</v>
      </c>
      <c r="J361" s="1548"/>
      <c r="K361" s="1591"/>
    </row>
    <row r="362" spans="1:11" s="1541" customFormat="1">
      <c r="A362" s="1518"/>
      <c r="B362" s="1518"/>
      <c r="C362" s="1522"/>
      <c r="D362" s="1554"/>
      <c r="E362" s="1545"/>
      <c r="F362" s="1594"/>
      <c r="G362" s="1459"/>
      <c r="H362" s="1557"/>
      <c r="J362" s="1548"/>
      <c r="K362" s="1591"/>
    </row>
    <row r="363" spans="1:11" s="1541" customFormat="1" ht="89.25">
      <c r="A363" s="1518" t="str">
        <f>A357</f>
        <v>H.</v>
      </c>
      <c r="B363" s="1518" t="str">
        <f t="shared" ref="B363" si="3">B357</f>
        <v>2.</v>
      </c>
      <c r="C363" s="1518">
        <f>C357+1</f>
        <v>43</v>
      </c>
      <c r="D363" s="1554" t="s">
        <v>4802</v>
      </c>
      <c r="E363" s="1545"/>
      <c r="F363" s="1594"/>
      <c r="G363" s="1459"/>
      <c r="H363" s="1557"/>
      <c r="J363" s="1548"/>
      <c r="K363" s="1591"/>
    </row>
    <row r="364" spans="1:11" s="1554" customFormat="1">
      <c r="A364" s="1518"/>
      <c r="B364" s="1518"/>
      <c r="D364" s="1543" t="s">
        <v>4641</v>
      </c>
      <c r="E364" s="1545"/>
      <c r="F364" s="1545"/>
      <c r="G364" s="1457"/>
      <c r="H364" s="1561"/>
    </row>
    <row r="365" spans="1:11" s="1541" customFormat="1">
      <c r="A365" s="1518"/>
      <c r="B365" s="1518"/>
      <c r="C365" s="1522"/>
      <c r="D365" s="1567" t="s">
        <v>4773</v>
      </c>
      <c r="E365" s="1545"/>
      <c r="F365" s="1594"/>
      <c r="G365" s="1459"/>
      <c r="H365" s="1557"/>
      <c r="J365" s="1548"/>
      <c r="K365" s="1591"/>
    </row>
    <row r="366" spans="1:11" s="1541" customFormat="1">
      <c r="A366" s="1518"/>
      <c r="B366" s="1518"/>
      <c r="C366" s="1522"/>
      <c r="D366" s="1595" t="s">
        <v>4774</v>
      </c>
      <c r="E366" s="1545"/>
      <c r="F366" s="1594"/>
      <c r="G366" s="1459"/>
      <c r="H366" s="1557"/>
      <c r="J366" s="1548"/>
      <c r="K366" s="1591"/>
    </row>
    <row r="367" spans="1:11" s="1541" customFormat="1">
      <c r="A367" s="1518"/>
      <c r="B367" s="1518"/>
      <c r="C367" s="1522"/>
      <c r="D367" s="1595" t="s">
        <v>4775</v>
      </c>
      <c r="E367" s="1545"/>
      <c r="F367" s="1594"/>
      <c r="G367" s="1459"/>
      <c r="H367" s="1557"/>
      <c r="J367" s="1548"/>
      <c r="K367" s="1591"/>
    </row>
    <row r="368" spans="1:11" s="1541" customFormat="1">
      <c r="A368" s="1518"/>
      <c r="B368" s="1518"/>
      <c r="C368" s="1522"/>
      <c r="D368" s="1567" t="s">
        <v>4776</v>
      </c>
      <c r="E368" s="1545"/>
      <c r="F368" s="1594"/>
      <c r="G368" s="1459"/>
      <c r="H368" s="1557"/>
      <c r="J368" s="1548"/>
      <c r="K368" s="1591"/>
    </row>
    <row r="369" spans="1:11" s="1541" customFormat="1">
      <c r="A369" s="1518"/>
      <c r="B369" s="1518"/>
      <c r="C369" s="1522"/>
      <c r="D369" s="1567" t="s">
        <v>4777</v>
      </c>
      <c r="E369" s="1545"/>
      <c r="F369" s="1594"/>
      <c r="G369" s="1459"/>
      <c r="H369" s="1557"/>
      <c r="J369" s="1548"/>
      <c r="K369" s="1591"/>
    </row>
    <row r="370" spans="1:11" s="1541" customFormat="1">
      <c r="A370" s="1518"/>
      <c r="B370" s="1518"/>
      <c r="C370" s="1522"/>
      <c r="D370" s="1567" t="s">
        <v>4803</v>
      </c>
      <c r="E370" s="1545"/>
      <c r="F370" s="1594"/>
      <c r="G370" s="1459"/>
      <c r="H370" s="1557"/>
      <c r="J370" s="1548"/>
      <c r="K370" s="1591"/>
    </row>
    <row r="371" spans="1:11" s="1541" customFormat="1">
      <c r="A371" s="1518"/>
      <c r="B371" s="1518"/>
      <c r="C371" s="1522"/>
      <c r="D371" s="1567" t="s">
        <v>4804</v>
      </c>
      <c r="E371" s="1545"/>
      <c r="F371" s="1594"/>
      <c r="G371" s="1459"/>
      <c r="H371" s="1557"/>
      <c r="J371" s="1548"/>
      <c r="K371" s="1591"/>
    </row>
    <row r="372" spans="1:11" s="1541" customFormat="1">
      <c r="A372" s="1518"/>
      <c r="B372" s="1518"/>
      <c r="C372" s="1522"/>
      <c r="D372" s="1567" t="s">
        <v>4780</v>
      </c>
      <c r="E372" s="1545"/>
      <c r="F372" s="1594"/>
      <c r="G372" s="1459"/>
      <c r="H372" s="1557"/>
      <c r="J372" s="1548"/>
      <c r="K372" s="1591"/>
    </row>
    <row r="373" spans="1:11" s="1541" customFormat="1">
      <c r="A373" s="1518"/>
      <c r="B373" s="1518"/>
      <c r="C373" s="1522"/>
      <c r="D373" s="1567" t="s">
        <v>4781</v>
      </c>
      <c r="E373" s="1545"/>
      <c r="F373" s="1594"/>
      <c r="G373" s="1459"/>
      <c r="H373" s="1557"/>
      <c r="J373" s="1548"/>
      <c r="K373" s="1591"/>
    </row>
    <row r="374" spans="1:11" s="1541" customFormat="1">
      <c r="A374" s="1518"/>
      <c r="B374" s="1518"/>
      <c r="C374" s="1522"/>
      <c r="D374" s="1567" t="s">
        <v>4805</v>
      </c>
      <c r="E374" s="1545"/>
      <c r="F374" s="1594"/>
      <c r="G374" s="1459"/>
      <c r="H374" s="1557"/>
      <c r="J374" s="1548"/>
      <c r="K374" s="1591"/>
    </row>
    <row r="375" spans="1:11" s="1541" customFormat="1">
      <c r="A375" s="1518"/>
      <c r="B375" s="1518"/>
      <c r="C375" s="1522"/>
      <c r="D375" s="1567" t="s">
        <v>4783</v>
      </c>
      <c r="E375" s="1545"/>
      <c r="F375" s="1594"/>
      <c r="G375" s="1459"/>
      <c r="H375" s="1557"/>
      <c r="J375" s="1548"/>
      <c r="K375" s="1591"/>
    </row>
    <row r="376" spans="1:11" s="1541" customFormat="1">
      <c r="A376" s="1518"/>
      <c r="B376" s="1518"/>
      <c r="C376" s="1522"/>
      <c r="D376" s="1567" t="s">
        <v>4784</v>
      </c>
      <c r="E376" s="1545"/>
      <c r="F376" s="1594"/>
      <c r="G376" s="1459"/>
      <c r="H376" s="1557"/>
      <c r="J376" s="1548"/>
      <c r="K376" s="1591"/>
    </row>
    <row r="377" spans="1:11" s="1541" customFormat="1">
      <c r="A377" s="1518"/>
      <c r="B377" s="1518"/>
      <c r="C377" s="1522"/>
      <c r="D377" s="1567" t="s">
        <v>4785</v>
      </c>
      <c r="E377" s="1545"/>
      <c r="F377" s="1594"/>
      <c r="G377" s="1459"/>
      <c r="H377" s="1557"/>
      <c r="J377" s="1548"/>
      <c r="K377" s="1591"/>
    </row>
    <row r="378" spans="1:11" s="1541" customFormat="1">
      <c r="A378" s="1518"/>
      <c r="B378" s="1518"/>
      <c r="C378" s="1522"/>
      <c r="D378" s="1567" t="s">
        <v>4786</v>
      </c>
      <c r="E378" s="1545"/>
      <c r="F378" s="1594"/>
      <c r="G378" s="1459"/>
      <c r="H378" s="1557"/>
      <c r="J378" s="1548"/>
      <c r="K378" s="1591"/>
    </row>
    <row r="379" spans="1:11" s="1562" customFormat="1">
      <c r="A379" s="1522"/>
      <c r="B379" s="1522"/>
      <c r="C379" s="1522"/>
      <c r="D379" s="1552" t="s">
        <v>254</v>
      </c>
      <c r="G379" s="1460"/>
      <c r="H379" s="1561"/>
    </row>
    <row r="380" spans="1:11" s="1541" customFormat="1">
      <c r="A380" s="1518"/>
      <c r="B380" s="1518"/>
      <c r="C380" s="1522" t="s">
        <v>55</v>
      </c>
      <c r="D380" s="1516" t="s">
        <v>4806</v>
      </c>
      <c r="E380" s="1545" t="s">
        <v>34</v>
      </c>
      <c r="F380" s="1545">
        <v>16</v>
      </c>
      <c r="G380" s="1461"/>
      <c r="H380" s="1557">
        <f>SUM(F380*G380)</f>
        <v>0</v>
      </c>
      <c r="J380" s="1548"/>
      <c r="K380" s="1591"/>
    </row>
    <row r="381" spans="1:11" s="1541" customFormat="1">
      <c r="A381" s="1518"/>
      <c r="B381" s="1518"/>
      <c r="C381" s="1522"/>
      <c r="D381" s="1554"/>
      <c r="E381" s="1545"/>
      <c r="F381" s="1594"/>
      <c r="G381" s="1459"/>
      <c r="H381" s="1557"/>
      <c r="J381" s="1548"/>
      <c r="K381" s="1591"/>
    </row>
    <row r="382" spans="1:11" s="1541" customFormat="1" ht="89.25">
      <c r="A382" s="1518" t="str">
        <f>A363</f>
        <v>H.</v>
      </c>
      <c r="B382" s="1518" t="str">
        <f t="shared" ref="B382" si="4">B363</f>
        <v>2.</v>
      </c>
      <c r="C382" s="1518">
        <f>C363+1</f>
        <v>44</v>
      </c>
      <c r="D382" s="1554" t="s">
        <v>4807</v>
      </c>
      <c r="E382" s="1545"/>
      <c r="F382" s="1594"/>
      <c r="G382" s="1459"/>
      <c r="H382" s="1557"/>
      <c r="J382" s="1548"/>
      <c r="K382" s="1591"/>
    </row>
    <row r="383" spans="1:11" s="1554" customFormat="1">
      <c r="A383" s="1518"/>
      <c r="B383" s="1518"/>
      <c r="D383" s="1543" t="s">
        <v>4641</v>
      </c>
      <c r="E383" s="1545"/>
      <c r="F383" s="1545"/>
      <c r="G383" s="1457"/>
      <c r="H383" s="1561"/>
    </row>
    <row r="384" spans="1:11" s="1541" customFormat="1">
      <c r="A384" s="1518"/>
      <c r="B384" s="1518"/>
      <c r="C384" s="1522"/>
      <c r="D384" s="1567" t="s">
        <v>4773</v>
      </c>
      <c r="E384" s="1545"/>
      <c r="F384" s="1594"/>
      <c r="G384" s="1459"/>
      <c r="H384" s="1557"/>
      <c r="J384" s="1548"/>
      <c r="K384" s="1591"/>
    </row>
    <row r="385" spans="1:11" s="1541" customFormat="1">
      <c r="A385" s="1518"/>
      <c r="B385" s="1518"/>
      <c r="C385" s="1522"/>
      <c r="D385" s="1567" t="s">
        <v>4774</v>
      </c>
      <c r="E385" s="1545"/>
      <c r="F385" s="1594"/>
      <c r="G385" s="1459"/>
      <c r="H385" s="1557"/>
      <c r="J385" s="1548"/>
      <c r="K385" s="1591"/>
    </row>
    <row r="386" spans="1:11" s="1541" customFormat="1">
      <c r="A386" s="1518"/>
      <c r="B386" s="1518"/>
      <c r="C386" s="1522"/>
      <c r="D386" s="1595" t="s">
        <v>4775</v>
      </c>
      <c r="E386" s="1545"/>
      <c r="F386" s="1594"/>
      <c r="G386" s="1459"/>
      <c r="H386" s="1557"/>
      <c r="J386" s="1548"/>
      <c r="K386" s="1591"/>
    </row>
    <row r="387" spans="1:11" s="1541" customFormat="1">
      <c r="A387" s="1518"/>
      <c r="B387" s="1518"/>
      <c r="C387" s="1522"/>
      <c r="D387" s="1567" t="s">
        <v>4808</v>
      </c>
      <c r="E387" s="1545"/>
      <c r="F387" s="1594"/>
      <c r="G387" s="1459"/>
      <c r="H387" s="1557"/>
      <c r="J387" s="1548"/>
      <c r="K387" s="1591"/>
    </row>
    <row r="388" spans="1:11" s="1541" customFormat="1">
      <c r="A388" s="1518"/>
      <c r="B388" s="1518"/>
      <c r="C388" s="1522"/>
      <c r="D388" s="1567" t="s">
        <v>4777</v>
      </c>
      <c r="E388" s="1545"/>
      <c r="F388" s="1594"/>
      <c r="G388" s="1459"/>
      <c r="H388" s="1557"/>
      <c r="J388" s="1548"/>
      <c r="K388" s="1591"/>
    </row>
    <row r="389" spans="1:11" s="1541" customFormat="1">
      <c r="A389" s="1518"/>
      <c r="B389" s="1518"/>
      <c r="C389" s="1522"/>
      <c r="D389" s="1567" t="s">
        <v>4778</v>
      </c>
      <c r="E389" s="1545"/>
      <c r="F389" s="1594"/>
      <c r="G389" s="1459"/>
      <c r="H389" s="1557"/>
      <c r="J389" s="1548"/>
      <c r="K389" s="1591"/>
    </row>
    <row r="390" spans="1:11" s="1541" customFormat="1">
      <c r="A390" s="1518"/>
      <c r="B390" s="1518"/>
      <c r="C390" s="1522"/>
      <c r="D390" s="1567" t="s">
        <v>4809</v>
      </c>
      <c r="E390" s="1545"/>
      <c r="F390" s="1594"/>
      <c r="G390" s="1459"/>
      <c r="H390" s="1557"/>
      <c r="J390" s="1548"/>
      <c r="K390" s="1591"/>
    </row>
    <row r="391" spans="1:11" s="1541" customFormat="1">
      <c r="A391" s="1518"/>
      <c r="B391" s="1518"/>
      <c r="C391" s="1522"/>
      <c r="D391" s="1567" t="s">
        <v>4792</v>
      </c>
      <c r="E391" s="1545"/>
      <c r="F391" s="1594"/>
      <c r="G391" s="1459"/>
      <c r="H391" s="1557"/>
      <c r="J391" s="1548"/>
      <c r="K391" s="1591"/>
    </row>
    <row r="392" spans="1:11" s="1541" customFormat="1">
      <c r="A392" s="1518"/>
      <c r="B392" s="1518"/>
      <c r="C392" s="1522"/>
      <c r="D392" s="1567" t="s">
        <v>4781</v>
      </c>
      <c r="E392" s="1545"/>
      <c r="F392" s="1594"/>
      <c r="G392" s="1459"/>
      <c r="H392" s="1557"/>
      <c r="J392" s="1548"/>
      <c r="K392" s="1591"/>
    </row>
    <row r="393" spans="1:11" s="1541" customFormat="1">
      <c r="A393" s="1518"/>
      <c r="B393" s="1518"/>
      <c r="C393" s="1522"/>
      <c r="D393" s="1567" t="s">
        <v>4810</v>
      </c>
      <c r="E393" s="1545"/>
      <c r="F393" s="1594"/>
      <c r="G393" s="1459"/>
      <c r="H393" s="1557"/>
      <c r="J393" s="1548"/>
      <c r="K393" s="1591"/>
    </row>
    <row r="394" spans="1:11" s="1541" customFormat="1">
      <c r="A394" s="1518"/>
      <c r="B394" s="1518"/>
      <c r="C394" s="1522"/>
      <c r="D394" s="1567" t="s">
        <v>4783</v>
      </c>
      <c r="E394" s="1545"/>
      <c r="F394" s="1594"/>
      <c r="G394" s="1459"/>
      <c r="H394" s="1557"/>
      <c r="J394" s="1548"/>
      <c r="K394" s="1591"/>
    </row>
    <row r="395" spans="1:11" s="1541" customFormat="1">
      <c r="A395" s="1518"/>
      <c r="B395" s="1518"/>
      <c r="C395" s="1522"/>
      <c r="D395" s="1567" t="s">
        <v>4784</v>
      </c>
      <c r="E395" s="1545"/>
      <c r="F395" s="1594"/>
      <c r="G395" s="1459"/>
      <c r="H395" s="1557"/>
      <c r="J395" s="1548"/>
      <c r="K395" s="1591"/>
    </row>
    <row r="396" spans="1:11" s="1541" customFormat="1">
      <c r="A396" s="1518"/>
      <c r="B396" s="1518"/>
      <c r="C396" s="1522"/>
      <c r="D396" s="1567" t="s">
        <v>4785</v>
      </c>
      <c r="E396" s="1545"/>
      <c r="F396" s="1594"/>
      <c r="G396" s="1459"/>
      <c r="H396" s="1557"/>
      <c r="J396" s="1548"/>
      <c r="K396" s="1591"/>
    </row>
    <row r="397" spans="1:11" s="1541" customFormat="1">
      <c r="A397" s="1518"/>
      <c r="B397" s="1518"/>
      <c r="C397" s="1522"/>
      <c r="D397" s="1567" t="s">
        <v>4786</v>
      </c>
      <c r="E397" s="1545"/>
      <c r="F397" s="1594"/>
      <c r="G397" s="1459"/>
      <c r="H397" s="1557"/>
      <c r="J397" s="1548"/>
      <c r="K397" s="1591"/>
    </row>
    <row r="398" spans="1:11" s="1562" customFormat="1">
      <c r="A398" s="1522"/>
      <c r="B398" s="1522"/>
      <c r="C398" s="1522"/>
      <c r="D398" s="1552" t="s">
        <v>254</v>
      </c>
      <c r="G398" s="1460"/>
      <c r="H398" s="1561"/>
    </row>
    <row r="399" spans="1:11" s="1541" customFormat="1">
      <c r="A399" s="1518"/>
      <c r="B399" s="1518"/>
      <c r="C399" s="1522" t="s">
        <v>55</v>
      </c>
      <c r="D399" s="1516" t="s">
        <v>4811</v>
      </c>
      <c r="E399" s="1545" t="s">
        <v>34</v>
      </c>
      <c r="F399" s="1545">
        <v>6</v>
      </c>
      <c r="G399" s="1461"/>
      <c r="H399" s="1557">
        <f>SUM(F399*G399)</f>
        <v>0</v>
      </c>
      <c r="J399" s="1548"/>
      <c r="K399" s="1591"/>
    </row>
    <row r="400" spans="1:11" s="1541" customFormat="1">
      <c r="A400" s="1518"/>
      <c r="B400" s="1518"/>
      <c r="C400" s="1522"/>
      <c r="D400" s="1554"/>
      <c r="E400" s="1545"/>
      <c r="F400" s="1594"/>
      <c r="G400" s="1459"/>
      <c r="H400" s="1557"/>
      <c r="J400" s="1548"/>
      <c r="K400" s="1591"/>
    </row>
    <row r="401" spans="1:11" s="1541" customFormat="1" ht="102">
      <c r="A401" s="1518" t="str">
        <f>A382</f>
        <v>H.</v>
      </c>
      <c r="B401" s="1518" t="str">
        <f t="shared" ref="B401" si="5">B382</f>
        <v>2.</v>
      </c>
      <c r="C401" s="1518">
        <f>C382+1</f>
        <v>45</v>
      </c>
      <c r="D401" s="1554" t="s">
        <v>4812</v>
      </c>
      <c r="E401" s="1545"/>
      <c r="F401" s="1594"/>
      <c r="G401" s="1459"/>
      <c r="H401" s="1557"/>
      <c r="J401" s="1548"/>
      <c r="K401" s="1591"/>
    </row>
    <row r="402" spans="1:11" s="1554" customFormat="1">
      <c r="A402" s="1518"/>
      <c r="B402" s="1518"/>
      <c r="D402" s="1543" t="s">
        <v>4641</v>
      </c>
      <c r="E402" s="1545"/>
      <c r="F402" s="1545"/>
      <c r="G402" s="1457"/>
      <c r="H402" s="1561"/>
    </row>
    <row r="403" spans="1:11" s="1541" customFormat="1">
      <c r="A403" s="1518"/>
      <c r="B403" s="1518"/>
      <c r="C403" s="1522"/>
      <c r="D403" s="1567" t="s">
        <v>4773</v>
      </c>
      <c r="E403" s="1545"/>
      <c r="F403" s="1594"/>
      <c r="G403" s="1459"/>
      <c r="H403" s="1557"/>
      <c r="J403" s="1548"/>
      <c r="K403" s="1591"/>
    </row>
    <row r="404" spans="1:11" s="1541" customFormat="1">
      <c r="A404" s="1518"/>
      <c r="B404" s="1518"/>
      <c r="C404" s="1522"/>
      <c r="D404" s="1595" t="s">
        <v>4774</v>
      </c>
      <c r="E404" s="1545"/>
      <c r="F404" s="1594"/>
      <c r="G404" s="1459"/>
      <c r="H404" s="1557"/>
      <c r="J404" s="1548"/>
      <c r="K404" s="1591"/>
    </row>
    <row r="405" spans="1:11" s="1541" customFormat="1">
      <c r="A405" s="1518"/>
      <c r="B405" s="1518"/>
      <c r="C405" s="1522"/>
      <c r="D405" s="1595" t="s">
        <v>4775</v>
      </c>
      <c r="E405" s="1545"/>
      <c r="F405" s="1594"/>
      <c r="G405" s="1459"/>
      <c r="H405" s="1557"/>
      <c r="J405" s="1548"/>
      <c r="K405" s="1591"/>
    </row>
    <row r="406" spans="1:11" s="1541" customFormat="1">
      <c r="A406" s="1518"/>
      <c r="B406" s="1518"/>
      <c r="C406" s="1522"/>
      <c r="D406" s="1567" t="s">
        <v>4776</v>
      </c>
      <c r="E406" s="1545"/>
      <c r="F406" s="1594"/>
      <c r="G406" s="1459"/>
      <c r="H406" s="1557"/>
      <c r="J406" s="1548"/>
      <c r="K406" s="1591"/>
    </row>
    <row r="407" spans="1:11" s="1541" customFormat="1">
      <c r="A407" s="1518"/>
      <c r="B407" s="1518"/>
      <c r="C407" s="1522"/>
      <c r="D407" s="1567" t="s">
        <v>4777</v>
      </c>
      <c r="E407" s="1545"/>
      <c r="F407" s="1594"/>
      <c r="G407" s="1459"/>
      <c r="H407" s="1557"/>
      <c r="J407" s="1548"/>
      <c r="K407" s="1591"/>
    </row>
    <row r="408" spans="1:11" s="1541" customFormat="1">
      <c r="A408" s="1518"/>
      <c r="B408" s="1518"/>
      <c r="C408" s="1522"/>
      <c r="D408" s="1567" t="s">
        <v>4778</v>
      </c>
      <c r="E408" s="1545"/>
      <c r="F408" s="1594"/>
      <c r="G408" s="1459"/>
      <c r="H408" s="1557"/>
      <c r="J408" s="1548"/>
      <c r="K408" s="1591"/>
    </row>
    <row r="409" spans="1:11" s="1541" customFormat="1">
      <c r="A409" s="1518"/>
      <c r="B409" s="1518"/>
      <c r="C409" s="1522"/>
      <c r="D409" s="1567" t="s">
        <v>4779</v>
      </c>
      <c r="E409" s="1545"/>
      <c r="F409" s="1594"/>
      <c r="G409" s="1459"/>
      <c r="H409" s="1557"/>
      <c r="J409" s="1548"/>
      <c r="K409" s="1591"/>
    </row>
    <row r="410" spans="1:11" s="1541" customFormat="1">
      <c r="A410" s="1518"/>
      <c r="B410" s="1518"/>
      <c r="C410" s="1522"/>
      <c r="D410" s="1567" t="s">
        <v>4780</v>
      </c>
      <c r="E410" s="1545"/>
      <c r="F410" s="1594"/>
      <c r="G410" s="1459"/>
      <c r="H410" s="1557"/>
      <c r="J410" s="1548"/>
      <c r="K410" s="1591"/>
    </row>
    <row r="411" spans="1:11" s="1541" customFormat="1">
      <c r="A411" s="1518"/>
      <c r="B411" s="1518"/>
      <c r="C411" s="1522"/>
      <c r="D411" s="1567" t="s">
        <v>4781</v>
      </c>
      <c r="E411" s="1545"/>
      <c r="F411" s="1594"/>
      <c r="G411" s="1459"/>
      <c r="H411" s="1557"/>
      <c r="J411" s="1548"/>
      <c r="K411" s="1591"/>
    </row>
    <row r="412" spans="1:11" s="1541" customFormat="1">
      <c r="A412" s="1518"/>
      <c r="B412" s="1518"/>
      <c r="C412" s="1522"/>
      <c r="D412" s="1567" t="s">
        <v>4782</v>
      </c>
      <c r="E412" s="1545"/>
      <c r="F412" s="1594"/>
      <c r="G412" s="1459"/>
      <c r="H412" s="1557"/>
      <c r="J412" s="1548"/>
      <c r="K412" s="1591"/>
    </row>
    <row r="413" spans="1:11" s="1541" customFormat="1">
      <c r="A413" s="1518"/>
      <c r="B413" s="1518"/>
      <c r="C413" s="1522"/>
      <c r="D413" s="1567" t="s">
        <v>4783</v>
      </c>
      <c r="E413" s="1545"/>
      <c r="F413" s="1594"/>
      <c r="G413" s="1459"/>
      <c r="H413" s="1557"/>
      <c r="J413" s="1548"/>
      <c r="K413" s="1591"/>
    </row>
    <row r="414" spans="1:11" s="1541" customFormat="1">
      <c r="A414" s="1518"/>
      <c r="B414" s="1518"/>
      <c r="C414" s="1522"/>
      <c r="D414" s="1567" t="s">
        <v>4784</v>
      </c>
      <c r="E414" s="1545"/>
      <c r="F414" s="1594"/>
      <c r="G414" s="1459"/>
      <c r="H414" s="1557"/>
      <c r="J414" s="1548"/>
      <c r="K414" s="1591"/>
    </row>
    <row r="415" spans="1:11" s="1541" customFormat="1">
      <c r="A415" s="1518"/>
      <c r="B415" s="1518"/>
      <c r="C415" s="1522"/>
      <c r="D415" s="1567" t="s">
        <v>4785</v>
      </c>
      <c r="E415" s="1545"/>
      <c r="F415" s="1594"/>
      <c r="G415" s="1459"/>
      <c r="H415" s="1557"/>
      <c r="J415" s="1548"/>
      <c r="K415" s="1591"/>
    </row>
    <row r="416" spans="1:11" s="1541" customFormat="1">
      <c r="A416" s="1518"/>
      <c r="B416" s="1518"/>
      <c r="C416" s="1522"/>
      <c r="D416" s="1567" t="s">
        <v>4786</v>
      </c>
      <c r="E416" s="1545"/>
      <c r="F416" s="1594"/>
      <c r="G416" s="1459"/>
      <c r="H416" s="1557"/>
      <c r="J416" s="1548"/>
      <c r="K416" s="1591"/>
    </row>
    <row r="417" spans="1:11" s="1562" customFormat="1">
      <c r="A417" s="1522"/>
      <c r="B417" s="1522"/>
      <c r="C417" s="1522"/>
      <c r="D417" s="1552" t="s">
        <v>254</v>
      </c>
      <c r="G417" s="1460"/>
      <c r="H417" s="1561"/>
    </row>
    <row r="418" spans="1:11" s="1541" customFormat="1">
      <c r="A418" s="1518"/>
      <c r="B418" s="1518"/>
      <c r="C418" s="1522" t="s">
        <v>55</v>
      </c>
      <c r="D418" s="1516" t="s">
        <v>4813</v>
      </c>
      <c r="E418" s="1545" t="s">
        <v>34</v>
      </c>
      <c r="F418" s="1545">
        <v>3</v>
      </c>
      <c r="G418" s="1461"/>
      <c r="H418" s="1557">
        <f>SUM(F418*G418)</f>
        <v>0</v>
      </c>
      <c r="J418" s="1548"/>
      <c r="K418" s="1591"/>
    </row>
    <row r="419" spans="1:11" s="1541" customFormat="1">
      <c r="A419" s="1518"/>
      <c r="B419" s="1518"/>
      <c r="C419" s="1522"/>
      <c r="D419" s="1554"/>
      <c r="E419" s="1545"/>
      <c r="F419" s="1594"/>
      <c r="G419" s="1459"/>
      <c r="H419" s="1557"/>
      <c r="J419" s="1548"/>
      <c r="K419" s="1591"/>
    </row>
    <row r="420" spans="1:11" s="1541" customFormat="1" ht="89.25">
      <c r="A420" s="1518" t="str">
        <f>A401</f>
        <v>H.</v>
      </c>
      <c r="B420" s="1518" t="str">
        <f t="shared" ref="B420" si="6">B401</f>
        <v>2.</v>
      </c>
      <c r="C420" s="1518">
        <f>C401+1</f>
        <v>46</v>
      </c>
      <c r="D420" s="1554" t="s">
        <v>4814</v>
      </c>
      <c r="E420" s="1545"/>
      <c r="F420" s="1594"/>
      <c r="G420" s="1459"/>
      <c r="H420" s="1557"/>
      <c r="J420" s="1548"/>
      <c r="K420" s="1591"/>
    </row>
    <row r="421" spans="1:11" s="1554" customFormat="1">
      <c r="A421" s="1518"/>
      <c r="B421" s="1518"/>
      <c r="D421" s="1543" t="s">
        <v>4641</v>
      </c>
      <c r="E421" s="1545"/>
      <c r="F421" s="1545"/>
      <c r="G421" s="1457"/>
      <c r="H421" s="1561"/>
    </row>
    <row r="422" spans="1:11" s="1541" customFormat="1">
      <c r="A422" s="1518"/>
      <c r="B422" s="1518"/>
      <c r="C422" s="1522"/>
      <c r="D422" s="1567" t="s">
        <v>4773</v>
      </c>
      <c r="E422" s="1545"/>
      <c r="F422" s="1594"/>
      <c r="G422" s="1459"/>
      <c r="H422" s="1557"/>
      <c r="J422" s="1548"/>
      <c r="K422" s="1591"/>
    </row>
    <row r="423" spans="1:11" s="1541" customFormat="1">
      <c r="A423" s="1518"/>
      <c r="B423" s="1518"/>
      <c r="C423" s="1522"/>
      <c r="D423" s="1595" t="s">
        <v>4774</v>
      </c>
      <c r="E423" s="1545"/>
      <c r="F423" s="1594"/>
      <c r="G423" s="1459"/>
      <c r="H423" s="1557"/>
      <c r="J423" s="1548"/>
      <c r="K423" s="1591"/>
    </row>
    <row r="424" spans="1:11" s="1541" customFormat="1">
      <c r="A424" s="1518"/>
      <c r="B424" s="1518"/>
      <c r="C424" s="1522"/>
      <c r="D424" s="1595" t="s">
        <v>4775</v>
      </c>
      <c r="E424" s="1545"/>
      <c r="F424" s="1594"/>
      <c r="G424" s="1459"/>
      <c r="H424" s="1557"/>
      <c r="J424" s="1548"/>
      <c r="K424" s="1591"/>
    </row>
    <row r="425" spans="1:11" s="1541" customFormat="1">
      <c r="A425" s="1518"/>
      <c r="B425" s="1518"/>
      <c r="C425" s="1522"/>
      <c r="D425" s="1567" t="s">
        <v>4789</v>
      </c>
      <c r="E425" s="1545"/>
      <c r="F425" s="1594"/>
      <c r="G425" s="1459"/>
      <c r="H425" s="1557"/>
      <c r="J425" s="1548"/>
      <c r="K425" s="1591"/>
    </row>
    <row r="426" spans="1:11" s="1541" customFormat="1">
      <c r="A426" s="1518"/>
      <c r="B426" s="1518"/>
      <c r="C426" s="1522"/>
      <c r="D426" s="1567" t="s">
        <v>4777</v>
      </c>
      <c r="E426" s="1545"/>
      <c r="F426" s="1594"/>
      <c r="G426" s="1459"/>
      <c r="H426" s="1557"/>
      <c r="J426" s="1548"/>
      <c r="K426" s="1591"/>
    </row>
    <row r="427" spans="1:11" s="1541" customFormat="1">
      <c r="A427" s="1518"/>
      <c r="B427" s="1518"/>
      <c r="C427" s="1522"/>
      <c r="D427" s="1567" t="s">
        <v>4790</v>
      </c>
      <c r="E427" s="1545"/>
      <c r="F427" s="1594"/>
      <c r="G427" s="1459"/>
      <c r="H427" s="1557"/>
      <c r="J427" s="1548"/>
      <c r="K427" s="1591"/>
    </row>
    <row r="428" spans="1:11" s="1541" customFormat="1">
      <c r="A428" s="1518"/>
      <c r="B428" s="1518"/>
      <c r="C428" s="1522"/>
      <c r="D428" s="1567" t="s">
        <v>4791</v>
      </c>
      <c r="E428" s="1545"/>
      <c r="F428" s="1594"/>
      <c r="G428" s="1459"/>
      <c r="H428" s="1557"/>
      <c r="J428" s="1548"/>
      <c r="K428" s="1591"/>
    </row>
    <row r="429" spans="1:11" s="1541" customFormat="1">
      <c r="A429" s="1518"/>
      <c r="B429" s="1518"/>
      <c r="C429" s="1522"/>
      <c r="D429" s="1567" t="s">
        <v>4792</v>
      </c>
      <c r="E429" s="1545"/>
      <c r="F429" s="1594"/>
      <c r="G429" s="1459"/>
      <c r="H429" s="1557"/>
      <c r="J429" s="1548"/>
      <c r="K429" s="1591"/>
    </row>
    <row r="430" spans="1:11" s="1541" customFormat="1">
      <c r="A430" s="1518"/>
      <c r="B430" s="1518"/>
      <c r="C430" s="1522"/>
      <c r="D430" s="1567" t="s">
        <v>4793</v>
      </c>
      <c r="E430" s="1545"/>
      <c r="F430" s="1594"/>
      <c r="G430" s="1459"/>
      <c r="H430" s="1557"/>
      <c r="J430" s="1548"/>
      <c r="K430" s="1591"/>
    </row>
    <row r="431" spans="1:11" s="1541" customFormat="1">
      <c r="A431" s="1518"/>
      <c r="B431" s="1518"/>
      <c r="C431" s="1522"/>
      <c r="D431" s="1567" t="s">
        <v>4781</v>
      </c>
      <c r="E431" s="1545"/>
      <c r="F431" s="1594"/>
      <c r="G431" s="1459"/>
      <c r="H431" s="1557"/>
      <c r="J431" s="1548"/>
      <c r="K431" s="1591"/>
    </row>
    <row r="432" spans="1:11" s="1541" customFormat="1">
      <c r="A432" s="1518"/>
      <c r="B432" s="1518"/>
      <c r="C432" s="1522"/>
      <c r="D432" s="1567" t="s">
        <v>4794</v>
      </c>
      <c r="E432" s="1545"/>
      <c r="F432" s="1594"/>
      <c r="G432" s="1459"/>
      <c r="H432" s="1557"/>
      <c r="J432" s="1548"/>
      <c r="K432" s="1591"/>
    </row>
    <row r="433" spans="1:11" s="1541" customFormat="1">
      <c r="A433" s="1518"/>
      <c r="B433" s="1518"/>
      <c r="C433" s="1522"/>
      <c r="D433" s="1567" t="s">
        <v>4795</v>
      </c>
      <c r="E433" s="1545"/>
      <c r="F433" s="1594"/>
      <c r="G433" s="1459"/>
      <c r="H433" s="1557"/>
      <c r="J433" s="1548"/>
      <c r="K433" s="1591"/>
    </row>
    <row r="434" spans="1:11" s="1541" customFormat="1">
      <c r="A434" s="1518"/>
      <c r="B434" s="1518"/>
      <c r="C434" s="1522"/>
      <c r="D434" s="1567" t="s">
        <v>4784</v>
      </c>
      <c r="E434" s="1545"/>
      <c r="F434" s="1594"/>
      <c r="G434" s="1459"/>
      <c r="H434" s="1557"/>
      <c r="J434" s="1548"/>
      <c r="K434" s="1591"/>
    </row>
    <row r="435" spans="1:11" s="1541" customFormat="1">
      <c r="A435" s="1518"/>
      <c r="B435" s="1518"/>
      <c r="C435" s="1522"/>
      <c r="D435" s="1567" t="s">
        <v>4785</v>
      </c>
      <c r="E435" s="1545"/>
      <c r="F435" s="1594"/>
      <c r="G435" s="1459"/>
      <c r="H435" s="1557"/>
      <c r="J435" s="1548"/>
      <c r="K435" s="1591"/>
    </row>
    <row r="436" spans="1:11" s="1541" customFormat="1">
      <c r="A436" s="1518"/>
      <c r="B436" s="1518"/>
      <c r="C436" s="1522"/>
      <c r="D436" s="1567" t="s">
        <v>4796</v>
      </c>
      <c r="E436" s="1545"/>
      <c r="F436" s="1594"/>
      <c r="G436" s="1459"/>
      <c r="H436" s="1557"/>
      <c r="J436" s="1548"/>
      <c r="K436" s="1591"/>
    </row>
    <row r="437" spans="1:11" s="1562" customFormat="1">
      <c r="A437" s="1522"/>
      <c r="B437" s="1522"/>
      <c r="C437" s="1522"/>
      <c r="D437" s="1552" t="s">
        <v>254</v>
      </c>
      <c r="G437" s="1460"/>
      <c r="H437" s="1561"/>
    </row>
    <row r="438" spans="1:11" s="1541" customFormat="1">
      <c r="A438" s="1518"/>
      <c r="B438" s="1518"/>
      <c r="C438" s="1522" t="s">
        <v>55</v>
      </c>
      <c r="D438" s="1516" t="s">
        <v>4815</v>
      </c>
      <c r="E438" s="1545" t="s">
        <v>34</v>
      </c>
      <c r="F438" s="1545">
        <v>3</v>
      </c>
      <c r="G438" s="1461"/>
      <c r="H438" s="1557">
        <f>SUM(F438*G438)</f>
        <v>0</v>
      </c>
      <c r="J438" s="1548"/>
      <c r="K438" s="1591"/>
    </row>
    <row r="439" spans="1:11" s="1541" customFormat="1">
      <c r="A439" s="1518"/>
      <c r="B439" s="1518"/>
      <c r="C439" s="1522"/>
      <c r="D439" s="1554"/>
      <c r="E439" s="1545"/>
      <c r="F439" s="1594"/>
      <c r="G439" s="1459"/>
      <c r="H439" s="1557"/>
      <c r="J439" s="1548"/>
      <c r="K439" s="1591"/>
    </row>
    <row r="440" spans="1:11" s="1541" customFormat="1" ht="25.5">
      <c r="A440" s="1518" t="str">
        <f>A420</f>
        <v>H.</v>
      </c>
      <c r="B440" s="1518" t="str">
        <f t="shared" ref="B440" si="7">B420</f>
        <v>2.</v>
      </c>
      <c r="C440" s="1518">
        <f>C420+1</f>
        <v>47</v>
      </c>
      <c r="D440" s="1554" t="s">
        <v>4816</v>
      </c>
      <c r="E440" s="1545"/>
      <c r="F440" s="1594"/>
      <c r="G440" s="1459"/>
      <c r="H440" s="1557"/>
      <c r="J440" s="1548"/>
      <c r="K440" s="1591"/>
    </row>
    <row r="441" spans="1:11" s="1554" customFormat="1">
      <c r="A441" s="1518"/>
      <c r="B441" s="1518"/>
      <c r="D441" s="1543" t="s">
        <v>4641</v>
      </c>
      <c r="E441" s="1545"/>
      <c r="F441" s="1545"/>
      <c r="G441" s="1457"/>
      <c r="H441" s="1561"/>
    </row>
    <row r="442" spans="1:11" s="1541" customFormat="1">
      <c r="A442" s="1518"/>
      <c r="B442" s="1518"/>
      <c r="C442" s="1563" t="s">
        <v>4799</v>
      </c>
      <c r="D442" s="1596" t="s">
        <v>4800</v>
      </c>
      <c r="E442" s="1545"/>
      <c r="F442" s="1594"/>
      <c r="G442" s="1459"/>
      <c r="H442" s="1557"/>
      <c r="J442" s="1548"/>
      <c r="K442" s="1591"/>
    </row>
    <row r="443" spans="1:11" s="1562" customFormat="1">
      <c r="A443" s="1522"/>
      <c r="B443" s="1522"/>
      <c r="C443" s="1522"/>
      <c r="D443" s="1552" t="s">
        <v>254</v>
      </c>
      <c r="G443" s="1460"/>
      <c r="H443" s="1561"/>
    </row>
    <row r="444" spans="1:11" s="1541" customFormat="1">
      <c r="A444" s="1518"/>
      <c r="B444" s="1518"/>
      <c r="C444" s="1522" t="s">
        <v>55</v>
      </c>
      <c r="D444" s="1554" t="s">
        <v>4817</v>
      </c>
      <c r="E444" s="1545" t="s">
        <v>34</v>
      </c>
      <c r="F444" s="1545">
        <v>3</v>
      </c>
      <c r="G444" s="1461"/>
      <c r="H444" s="1557">
        <f>SUM(F444*G444)</f>
        <v>0</v>
      </c>
      <c r="J444" s="1548"/>
      <c r="K444" s="1591"/>
    </row>
    <row r="445" spans="1:11" s="1541" customFormat="1">
      <c r="A445" s="1518"/>
      <c r="B445" s="1518"/>
      <c r="C445" s="1522"/>
      <c r="D445" s="1554"/>
      <c r="E445" s="1545"/>
      <c r="F445" s="1594"/>
      <c r="G445" s="1459"/>
      <c r="H445" s="1557"/>
      <c r="J445" s="1548"/>
      <c r="K445" s="1591"/>
    </row>
    <row r="446" spans="1:11" s="1541" customFormat="1" ht="89.25">
      <c r="A446" s="1518" t="str">
        <f>A440</f>
        <v>H.</v>
      </c>
      <c r="B446" s="1518" t="str">
        <f t="shared" ref="B446" si="8">B440</f>
        <v>2.</v>
      </c>
      <c r="C446" s="1518">
        <f>C440+1</f>
        <v>48</v>
      </c>
      <c r="D446" s="1554" t="s">
        <v>4818</v>
      </c>
      <c r="E446" s="1545"/>
      <c r="F446" s="1594"/>
      <c r="G446" s="1459"/>
      <c r="H446" s="1557"/>
      <c r="J446" s="1548"/>
      <c r="K446" s="1591"/>
    </row>
    <row r="447" spans="1:11" s="1554" customFormat="1">
      <c r="A447" s="1518"/>
      <c r="B447" s="1518"/>
      <c r="D447" s="1543" t="s">
        <v>4641</v>
      </c>
      <c r="E447" s="1545"/>
      <c r="F447" s="1545"/>
      <c r="G447" s="1457"/>
      <c r="H447" s="1561"/>
    </row>
    <row r="448" spans="1:11" s="1541" customFormat="1">
      <c r="A448" s="1518"/>
      <c r="B448" s="1518"/>
      <c r="C448" s="1522"/>
      <c r="D448" s="1567" t="s">
        <v>4773</v>
      </c>
      <c r="E448" s="1545"/>
      <c r="F448" s="1594"/>
      <c r="G448" s="1459"/>
      <c r="H448" s="1557"/>
      <c r="J448" s="1548"/>
      <c r="K448" s="1591"/>
    </row>
    <row r="449" spans="1:11" s="1541" customFormat="1">
      <c r="A449" s="1518"/>
      <c r="B449" s="1518"/>
      <c r="C449" s="1522"/>
      <c r="D449" s="1595" t="s">
        <v>4774</v>
      </c>
      <c r="E449" s="1545"/>
      <c r="F449" s="1594"/>
      <c r="G449" s="1459"/>
      <c r="H449" s="1557"/>
      <c r="J449" s="1548"/>
      <c r="K449" s="1591"/>
    </row>
    <row r="450" spans="1:11" s="1541" customFormat="1">
      <c r="A450" s="1518"/>
      <c r="B450" s="1518"/>
      <c r="C450" s="1522"/>
      <c r="D450" s="1595" t="s">
        <v>4775</v>
      </c>
      <c r="E450" s="1545"/>
      <c r="F450" s="1594"/>
      <c r="G450" s="1459"/>
      <c r="H450" s="1557"/>
      <c r="J450" s="1548"/>
      <c r="K450" s="1591"/>
    </row>
    <row r="451" spans="1:11" s="1541" customFormat="1">
      <c r="A451" s="1518"/>
      <c r="B451" s="1518"/>
      <c r="C451" s="1522"/>
      <c r="D451" s="1567" t="s">
        <v>4776</v>
      </c>
      <c r="E451" s="1545"/>
      <c r="F451" s="1594"/>
      <c r="G451" s="1459"/>
      <c r="H451" s="1557"/>
      <c r="J451" s="1548"/>
      <c r="K451" s="1591"/>
    </row>
    <row r="452" spans="1:11" s="1541" customFormat="1">
      <c r="A452" s="1518"/>
      <c r="B452" s="1518"/>
      <c r="C452" s="1522"/>
      <c r="D452" s="1567" t="s">
        <v>4777</v>
      </c>
      <c r="E452" s="1545"/>
      <c r="F452" s="1594"/>
      <c r="G452" s="1459"/>
      <c r="H452" s="1557"/>
      <c r="J452" s="1548"/>
      <c r="K452" s="1591"/>
    </row>
    <row r="453" spans="1:11" s="1541" customFormat="1">
      <c r="A453" s="1518"/>
      <c r="B453" s="1518"/>
      <c r="C453" s="1522"/>
      <c r="D453" s="1567" t="s">
        <v>4803</v>
      </c>
      <c r="E453" s="1545"/>
      <c r="F453" s="1594"/>
      <c r="G453" s="1459"/>
      <c r="H453" s="1557"/>
      <c r="J453" s="1548"/>
      <c r="K453" s="1591"/>
    </row>
    <row r="454" spans="1:11" s="1541" customFormat="1">
      <c r="A454" s="1518"/>
      <c r="B454" s="1518"/>
      <c r="C454" s="1522"/>
      <c r="D454" s="1567" t="s">
        <v>4804</v>
      </c>
      <c r="E454" s="1545"/>
      <c r="F454" s="1594"/>
      <c r="G454" s="1459"/>
      <c r="H454" s="1557"/>
      <c r="J454" s="1548"/>
      <c r="K454" s="1591"/>
    </row>
    <row r="455" spans="1:11" s="1541" customFormat="1">
      <c r="A455" s="1518"/>
      <c r="B455" s="1518"/>
      <c r="C455" s="1522"/>
      <c r="D455" s="1567" t="s">
        <v>4780</v>
      </c>
      <c r="E455" s="1545"/>
      <c r="F455" s="1594"/>
      <c r="G455" s="1459"/>
      <c r="H455" s="1557"/>
      <c r="J455" s="1548"/>
      <c r="K455" s="1591"/>
    </row>
    <row r="456" spans="1:11" s="1541" customFormat="1">
      <c r="A456" s="1518"/>
      <c r="B456" s="1518"/>
      <c r="C456" s="1522"/>
      <c r="D456" s="1567" t="s">
        <v>4781</v>
      </c>
      <c r="E456" s="1545"/>
      <c r="F456" s="1594"/>
      <c r="G456" s="1459"/>
      <c r="H456" s="1557"/>
      <c r="J456" s="1548"/>
      <c r="K456" s="1591"/>
    </row>
    <row r="457" spans="1:11" s="1541" customFormat="1">
      <c r="A457" s="1518"/>
      <c r="B457" s="1518"/>
      <c r="C457" s="1522"/>
      <c r="D457" s="1567" t="s">
        <v>4805</v>
      </c>
      <c r="E457" s="1545"/>
      <c r="F457" s="1594"/>
      <c r="G457" s="1459"/>
      <c r="H457" s="1557"/>
      <c r="J457" s="1548"/>
      <c r="K457" s="1591"/>
    </row>
    <row r="458" spans="1:11" s="1541" customFormat="1">
      <c r="A458" s="1518"/>
      <c r="B458" s="1518"/>
      <c r="C458" s="1522"/>
      <c r="D458" s="1567" t="s">
        <v>4783</v>
      </c>
      <c r="E458" s="1545"/>
      <c r="F458" s="1594"/>
      <c r="G458" s="1459"/>
      <c r="H458" s="1557"/>
      <c r="J458" s="1548"/>
      <c r="K458" s="1591"/>
    </row>
    <row r="459" spans="1:11" s="1541" customFormat="1">
      <c r="A459" s="1518"/>
      <c r="B459" s="1518"/>
      <c r="C459" s="1522"/>
      <c r="D459" s="1567" t="s">
        <v>4784</v>
      </c>
      <c r="E459" s="1545"/>
      <c r="F459" s="1594"/>
      <c r="G459" s="1459"/>
      <c r="H459" s="1557"/>
      <c r="J459" s="1548"/>
      <c r="K459" s="1591"/>
    </row>
    <row r="460" spans="1:11" s="1541" customFormat="1">
      <c r="A460" s="1518"/>
      <c r="B460" s="1518"/>
      <c r="C460" s="1522"/>
      <c r="D460" s="1567" t="s">
        <v>4785</v>
      </c>
      <c r="E460" s="1545"/>
      <c r="F460" s="1594"/>
      <c r="G460" s="1459"/>
      <c r="H460" s="1557"/>
      <c r="J460" s="1548"/>
      <c r="K460" s="1591"/>
    </row>
    <row r="461" spans="1:11" s="1541" customFormat="1">
      <c r="A461" s="1518"/>
      <c r="B461" s="1518"/>
      <c r="C461" s="1522"/>
      <c r="D461" s="1567" t="s">
        <v>4786</v>
      </c>
      <c r="E461" s="1545"/>
      <c r="F461" s="1594"/>
      <c r="G461" s="1459"/>
      <c r="H461" s="1557"/>
      <c r="J461" s="1548"/>
      <c r="K461" s="1591"/>
    </row>
    <row r="462" spans="1:11" s="1562" customFormat="1">
      <c r="A462" s="1522"/>
      <c r="B462" s="1522"/>
      <c r="C462" s="1522"/>
      <c r="D462" s="1552" t="s">
        <v>254</v>
      </c>
      <c r="G462" s="1460"/>
      <c r="H462" s="1561"/>
    </row>
    <row r="463" spans="1:11" s="1541" customFormat="1">
      <c r="A463" s="1518"/>
      <c r="B463" s="1518"/>
      <c r="C463" s="1522" t="s">
        <v>55</v>
      </c>
      <c r="D463" s="1516" t="s">
        <v>4819</v>
      </c>
      <c r="E463" s="1545" t="s">
        <v>34</v>
      </c>
      <c r="F463" s="1545">
        <v>10</v>
      </c>
      <c r="G463" s="1461"/>
      <c r="H463" s="1557">
        <f>SUM(F463*G463)</f>
        <v>0</v>
      </c>
      <c r="J463" s="1548"/>
      <c r="K463" s="1591"/>
    </row>
    <row r="464" spans="1:11" s="1541" customFormat="1">
      <c r="A464" s="1518"/>
      <c r="B464" s="1518"/>
      <c r="C464" s="1522"/>
      <c r="D464" s="1554"/>
      <c r="E464" s="1545"/>
      <c r="F464" s="1594"/>
      <c r="G464" s="1459"/>
      <c r="H464" s="1557"/>
      <c r="J464" s="1548"/>
      <c r="K464" s="1591"/>
    </row>
    <row r="465" spans="1:11" s="1541" customFormat="1" ht="89.25">
      <c r="A465" s="1518" t="str">
        <f>A446</f>
        <v>H.</v>
      </c>
      <c r="B465" s="1518" t="str">
        <f t="shared" ref="B465" si="9">B446</f>
        <v>2.</v>
      </c>
      <c r="C465" s="1518">
        <f>C446+1</f>
        <v>49</v>
      </c>
      <c r="D465" s="1554" t="s">
        <v>4820</v>
      </c>
      <c r="E465" s="1545"/>
      <c r="F465" s="1594"/>
      <c r="G465" s="1459"/>
      <c r="H465" s="1557"/>
      <c r="J465" s="1548"/>
      <c r="K465" s="1591"/>
    </row>
    <row r="466" spans="1:11" s="1554" customFormat="1">
      <c r="A466" s="1518"/>
      <c r="B466" s="1518"/>
      <c r="D466" s="1543" t="s">
        <v>4641</v>
      </c>
      <c r="E466" s="1545"/>
      <c r="F466" s="1545"/>
      <c r="G466" s="1457"/>
      <c r="H466" s="1561"/>
    </row>
    <row r="467" spans="1:11" s="1541" customFormat="1">
      <c r="A467" s="1518"/>
      <c r="B467" s="1518"/>
      <c r="C467" s="1522"/>
      <c r="D467" s="1567" t="s">
        <v>4773</v>
      </c>
      <c r="E467" s="1545"/>
      <c r="F467" s="1594"/>
      <c r="G467" s="1459"/>
      <c r="H467" s="1557"/>
      <c r="J467" s="1548"/>
      <c r="K467" s="1591"/>
    </row>
    <row r="468" spans="1:11" s="1541" customFormat="1">
      <c r="A468" s="1518"/>
      <c r="B468" s="1518"/>
      <c r="C468" s="1522"/>
      <c r="D468" s="1567" t="s">
        <v>4774</v>
      </c>
      <c r="E468" s="1545"/>
      <c r="F468" s="1594"/>
      <c r="G468" s="1459"/>
      <c r="H468" s="1557"/>
      <c r="J468" s="1548"/>
      <c r="K468" s="1591"/>
    </row>
    <row r="469" spans="1:11" s="1541" customFormat="1">
      <c r="A469" s="1518"/>
      <c r="B469" s="1518"/>
      <c r="C469" s="1522"/>
      <c r="D469" s="1595" t="s">
        <v>4775</v>
      </c>
      <c r="E469" s="1545"/>
      <c r="F469" s="1594"/>
      <c r="G469" s="1459"/>
      <c r="H469" s="1557"/>
      <c r="J469" s="1548"/>
      <c r="K469" s="1591"/>
    </row>
    <row r="470" spans="1:11" s="1541" customFormat="1">
      <c r="A470" s="1518"/>
      <c r="B470" s="1518"/>
      <c r="C470" s="1522"/>
      <c r="D470" s="1567" t="s">
        <v>4808</v>
      </c>
      <c r="E470" s="1545"/>
      <c r="F470" s="1594"/>
      <c r="G470" s="1459"/>
      <c r="H470" s="1557"/>
      <c r="J470" s="1548"/>
      <c r="K470" s="1591"/>
    </row>
    <row r="471" spans="1:11" s="1541" customFormat="1">
      <c r="A471" s="1518"/>
      <c r="B471" s="1518"/>
      <c r="C471" s="1522"/>
      <c r="D471" s="1567" t="s">
        <v>4777</v>
      </c>
      <c r="E471" s="1545"/>
      <c r="F471" s="1594"/>
      <c r="G471" s="1459"/>
      <c r="H471" s="1557"/>
      <c r="J471" s="1548"/>
      <c r="K471" s="1591"/>
    </row>
    <row r="472" spans="1:11" s="1541" customFormat="1">
      <c r="A472" s="1518"/>
      <c r="B472" s="1518"/>
      <c r="C472" s="1522"/>
      <c r="D472" s="1567" t="s">
        <v>4778</v>
      </c>
      <c r="E472" s="1545"/>
      <c r="F472" s="1594"/>
      <c r="G472" s="1459"/>
      <c r="H472" s="1557"/>
      <c r="J472" s="1548"/>
      <c r="K472" s="1591"/>
    </row>
    <row r="473" spans="1:11" s="1541" customFormat="1" ht="25.5">
      <c r="A473" s="1518"/>
      <c r="B473" s="1518"/>
      <c r="C473" s="1522"/>
      <c r="D473" s="1567" t="s">
        <v>4821</v>
      </c>
      <c r="E473" s="1545"/>
      <c r="F473" s="1594"/>
      <c r="G473" s="1459"/>
      <c r="H473" s="1557"/>
      <c r="J473" s="1548"/>
      <c r="K473" s="1591"/>
    </row>
    <row r="474" spans="1:11" s="1541" customFormat="1">
      <c r="A474" s="1518"/>
      <c r="B474" s="1518"/>
      <c r="C474" s="1522"/>
      <c r="D474" s="1567" t="s">
        <v>4792</v>
      </c>
      <c r="E474" s="1545"/>
      <c r="F474" s="1594"/>
      <c r="G474" s="1459"/>
      <c r="H474" s="1557"/>
      <c r="J474" s="1548"/>
      <c r="K474" s="1591"/>
    </row>
    <row r="475" spans="1:11" s="1541" customFormat="1">
      <c r="A475" s="1518"/>
      <c r="B475" s="1518"/>
      <c r="C475" s="1522"/>
      <c r="D475" s="1567" t="s">
        <v>4781</v>
      </c>
      <c r="E475" s="1545"/>
      <c r="F475" s="1594"/>
      <c r="G475" s="1459"/>
      <c r="H475" s="1557"/>
      <c r="J475" s="1548"/>
      <c r="K475" s="1591"/>
    </row>
    <row r="476" spans="1:11" s="1541" customFormat="1">
      <c r="A476" s="1518"/>
      <c r="B476" s="1518"/>
      <c r="C476" s="1522"/>
      <c r="D476" s="1567" t="s">
        <v>4822</v>
      </c>
      <c r="E476" s="1545"/>
      <c r="F476" s="1594"/>
      <c r="G476" s="1459"/>
      <c r="H476" s="1557"/>
      <c r="J476" s="1548"/>
      <c r="K476" s="1591"/>
    </row>
    <row r="477" spans="1:11" s="1541" customFormat="1">
      <c r="A477" s="1518"/>
      <c r="B477" s="1518"/>
      <c r="C477" s="1522"/>
      <c r="D477" s="1567" t="s">
        <v>4783</v>
      </c>
      <c r="E477" s="1545"/>
      <c r="F477" s="1594"/>
      <c r="G477" s="1459"/>
      <c r="H477" s="1557"/>
      <c r="J477" s="1548"/>
      <c r="K477" s="1591"/>
    </row>
    <row r="478" spans="1:11" s="1541" customFormat="1">
      <c r="A478" s="1518"/>
      <c r="B478" s="1518"/>
      <c r="C478" s="1522"/>
      <c r="D478" s="1567" t="s">
        <v>4784</v>
      </c>
      <c r="E478" s="1545"/>
      <c r="F478" s="1594"/>
      <c r="G478" s="1459"/>
      <c r="H478" s="1557"/>
      <c r="J478" s="1548"/>
      <c r="K478" s="1591"/>
    </row>
    <row r="479" spans="1:11" s="1541" customFormat="1">
      <c r="A479" s="1518"/>
      <c r="B479" s="1518"/>
      <c r="C479" s="1522"/>
      <c r="D479" s="1567" t="s">
        <v>4785</v>
      </c>
      <c r="E479" s="1545"/>
      <c r="F479" s="1594"/>
      <c r="G479" s="1459"/>
      <c r="H479" s="1557"/>
      <c r="J479" s="1548"/>
      <c r="K479" s="1591"/>
    </row>
    <row r="480" spans="1:11" s="1541" customFormat="1">
      <c r="A480" s="1518"/>
      <c r="B480" s="1518"/>
      <c r="C480" s="1522"/>
      <c r="D480" s="1567" t="s">
        <v>4786</v>
      </c>
      <c r="E480" s="1545"/>
      <c r="F480" s="1594"/>
      <c r="G480" s="1459"/>
      <c r="H480" s="1557"/>
      <c r="J480" s="1548"/>
      <c r="K480" s="1591"/>
    </row>
    <row r="481" spans="1:11" s="1562" customFormat="1">
      <c r="A481" s="1522"/>
      <c r="B481" s="1522"/>
      <c r="C481" s="1522"/>
      <c r="D481" s="1552" t="s">
        <v>254</v>
      </c>
      <c r="G481" s="1460"/>
      <c r="H481" s="1561"/>
    </row>
    <row r="482" spans="1:11" s="1541" customFormat="1">
      <c r="A482" s="1518"/>
      <c r="B482" s="1518"/>
      <c r="C482" s="1522" t="s">
        <v>55</v>
      </c>
      <c r="D482" s="1516" t="s">
        <v>4823</v>
      </c>
      <c r="E482" s="1545" t="s">
        <v>34</v>
      </c>
      <c r="F482" s="1545">
        <v>3</v>
      </c>
      <c r="G482" s="1461"/>
      <c r="H482" s="1557">
        <f>SUM(F482*G482)</f>
        <v>0</v>
      </c>
      <c r="J482" s="1548"/>
      <c r="K482" s="1591"/>
    </row>
    <row r="483" spans="1:11" s="1541" customFormat="1">
      <c r="A483" s="1518"/>
      <c r="B483" s="1518"/>
      <c r="C483" s="1522"/>
      <c r="D483" s="1554"/>
      <c r="E483" s="1545"/>
      <c r="F483" s="1594"/>
      <c r="G483" s="1459"/>
      <c r="H483" s="1557"/>
      <c r="J483" s="1548"/>
      <c r="K483" s="1591"/>
    </row>
    <row r="484" spans="1:11" s="1541" customFormat="1" ht="89.25">
      <c r="A484" s="1518" t="str">
        <f>A465</f>
        <v>H.</v>
      </c>
      <c r="B484" s="1518" t="str">
        <f t="shared" ref="B484" si="10">B465</f>
        <v>2.</v>
      </c>
      <c r="C484" s="1518">
        <f>C465+1</f>
        <v>50</v>
      </c>
      <c r="D484" s="1554" t="s">
        <v>4824</v>
      </c>
      <c r="E484" s="1545"/>
      <c r="F484" s="1594"/>
      <c r="G484" s="1459"/>
      <c r="H484" s="1557"/>
      <c r="J484" s="1548"/>
      <c r="K484" s="1591"/>
    </row>
    <row r="485" spans="1:11" s="1554" customFormat="1">
      <c r="A485" s="1518"/>
      <c r="B485" s="1518"/>
      <c r="D485" s="1543" t="s">
        <v>4641</v>
      </c>
      <c r="E485" s="1545"/>
      <c r="F485" s="1545"/>
      <c r="G485" s="1457"/>
      <c r="H485" s="1561"/>
    </row>
    <row r="486" spans="1:11" s="1541" customFormat="1">
      <c r="A486" s="1518"/>
      <c r="B486" s="1518"/>
      <c r="C486" s="1522"/>
      <c r="D486" s="1567" t="s">
        <v>4773</v>
      </c>
      <c r="E486" s="1545"/>
      <c r="F486" s="1594"/>
      <c r="G486" s="1459"/>
      <c r="H486" s="1557"/>
      <c r="J486" s="1548"/>
      <c r="K486" s="1591"/>
    </row>
    <row r="487" spans="1:11" s="1541" customFormat="1">
      <c r="A487" s="1518"/>
      <c r="B487" s="1518"/>
      <c r="C487" s="1522"/>
      <c r="D487" s="1595" t="s">
        <v>4774</v>
      </c>
      <c r="E487" s="1545"/>
      <c r="F487" s="1594"/>
      <c r="G487" s="1459"/>
      <c r="H487" s="1557"/>
      <c r="J487" s="1548"/>
      <c r="K487" s="1591"/>
    </row>
    <row r="488" spans="1:11" s="1541" customFormat="1">
      <c r="A488" s="1518"/>
      <c r="B488" s="1518"/>
      <c r="C488" s="1522"/>
      <c r="D488" s="1595" t="s">
        <v>4775</v>
      </c>
      <c r="E488" s="1545"/>
      <c r="F488" s="1594"/>
      <c r="G488" s="1459"/>
      <c r="H488" s="1557"/>
      <c r="J488" s="1548"/>
      <c r="K488" s="1591"/>
    </row>
    <row r="489" spans="1:11" s="1541" customFormat="1">
      <c r="A489" s="1518"/>
      <c r="B489" s="1518"/>
      <c r="C489" s="1522"/>
      <c r="D489" s="1567" t="s">
        <v>4789</v>
      </c>
      <c r="E489" s="1545"/>
      <c r="F489" s="1594"/>
      <c r="G489" s="1459"/>
      <c r="H489" s="1557"/>
      <c r="J489" s="1548"/>
      <c r="K489" s="1591"/>
    </row>
    <row r="490" spans="1:11" s="1541" customFormat="1">
      <c r="A490" s="1518"/>
      <c r="B490" s="1518"/>
      <c r="C490" s="1522"/>
      <c r="D490" s="1567" t="s">
        <v>4777</v>
      </c>
      <c r="E490" s="1545"/>
      <c r="F490" s="1594"/>
      <c r="G490" s="1459"/>
      <c r="H490" s="1557"/>
      <c r="J490" s="1548"/>
      <c r="K490" s="1591"/>
    </row>
    <row r="491" spans="1:11" s="1541" customFormat="1">
      <c r="A491" s="1518"/>
      <c r="B491" s="1518"/>
      <c r="C491" s="1522"/>
      <c r="D491" s="1567" t="s">
        <v>4790</v>
      </c>
      <c r="E491" s="1545"/>
      <c r="F491" s="1594"/>
      <c r="G491" s="1459"/>
      <c r="H491" s="1557"/>
      <c r="J491" s="1548"/>
      <c r="K491" s="1591"/>
    </row>
    <row r="492" spans="1:11" s="1541" customFormat="1">
      <c r="A492" s="1518"/>
      <c r="B492" s="1518"/>
      <c r="C492" s="1522"/>
      <c r="D492" s="1567" t="s">
        <v>4791</v>
      </c>
      <c r="E492" s="1545"/>
      <c r="F492" s="1594"/>
      <c r="G492" s="1459"/>
      <c r="H492" s="1557"/>
      <c r="J492" s="1548"/>
      <c r="K492" s="1591"/>
    </row>
    <row r="493" spans="1:11" s="1541" customFormat="1">
      <c r="A493" s="1518"/>
      <c r="B493" s="1518"/>
      <c r="C493" s="1522"/>
      <c r="D493" s="1567" t="s">
        <v>4825</v>
      </c>
      <c r="E493" s="1545"/>
      <c r="F493" s="1594"/>
      <c r="G493" s="1459"/>
      <c r="H493" s="1557"/>
      <c r="J493" s="1548"/>
      <c r="K493" s="1591"/>
    </row>
    <row r="494" spans="1:11" s="1541" customFormat="1">
      <c r="A494" s="1518"/>
      <c r="B494" s="1518"/>
      <c r="C494" s="1522"/>
      <c r="D494" s="1568" t="s">
        <v>4826</v>
      </c>
      <c r="E494" s="1545"/>
      <c r="F494" s="1594"/>
      <c r="G494" s="1459"/>
      <c r="H494" s="1557"/>
      <c r="J494" s="1548"/>
      <c r="K494" s="1591"/>
    </row>
    <row r="495" spans="1:11" s="1541" customFormat="1">
      <c r="A495" s="1518"/>
      <c r="B495" s="1518"/>
      <c r="C495" s="1522"/>
      <c r="D495" s="1567" t="s">
        <v>4781</v>
      </c>
      <c r="E495" s="1545"/>
      <c r="F495" s="1594"/>
      <c r="G495" s="1459"/>
      <c r="H495" s="1557"/>
      <c r="J495" s="1548"/>
      <c r="K495" s="1591"/>
    </row>
    <row r="496" spans="1:11" s="1541" customFormat="1">
      <c r="A496" s="1518"/>
      <c r="B496" s="1518"/>
      <c r="C496" s="1522"/>
      <c r="D496" s="1567" t="s">
        <v>4794</v>
      </c>
      <c r="E496" s="1545"/>
      <c r="F496" s="1594"/>
      <c r="G496" s="1459"/>
      <c r="H496" s="1557"/>
      <c r="J496" s="1548"/>
      <c r="K496" s="1591"/>
    </row>
    <row r="497" spans="1:11" s="1541" customFormat="1">
      <c r="A497" s="1518"/>
      <c r="B497" s="1518"/>
      <c r="C497" s="1522"/>
      <c r="D497" s="1567" t="s">
        <v>4795</v>
      </c>
      <c r="E497" s="1545"/>
      <c r="F497" s="1594"/>
      <c r="G497" s="1459"/>
      <c r="H497" s="1557"/>
      <c r="J497" s="1548"/>
      <c r="K497" s="1591"/>
    </row>
    <row r="498" spans="1:11" s="1541" customFormat="1">
      <c r="A498" s="1518"/>
      <c r="B498" s="1518"/>
      <c r="C498" s="1522"/>
      <c r="D498" s="1567" t="s">
        <v>4784</v>
      </c>
      <c r="E498" s="1545"/>
      <c r="F498" s="1594"/>
      <c r="G498" s="1459"/>
      <c r="H498" s="1557"/>
      <c r="J498" s="1548"/>
      <c r="K498" s="1591"/>
    </row>
    <row r="499" spans="1:11" s="1541" customFormat="1">
      <c r="A499" s="1518"/>
      <c r="B499" s="1518"/>
      <c r="C499" s="1522"/>
      <c r="D499" s="1567" t="s">
        <v>4785</v>
      </c>
      <c r="E499" s="1545"/>
      <c r="F499" s="1594"/>
      <c r="G499" s="1459"/>
      <c r="H499" s="1557"/>
      <c r="J499" s="1548"/>
      <c r="K499" s="1591"/>
    </row>
    <row r="500" spans="1:11" s="1541" customFormat="1">
      <c r="A500" s="1518"/>
      <c r="B500" s="1518"/>
      <c r="C500" s="1522"/>
      <c r="D500" s="1567" t="s">
        <v>4796</v>
      </c>
      <c r="E500" s="1545"/>
      <c r="F500" s="1594"/>
      <c r="G500" s="1459"/>
      <c r="H500" s="1557"/>
      <c r="J500" s="1548"/>
      <c r="K500" s="1591"/>
    </row>
    <row r="501" spans="1:11" s="1562" customFormat="1">
      <c r="A501" s="1522"/>
      <c r="B501" s="1522"/>
      <c r="C501" s="1522"/>
      <c r="D501" s="1552" t="s">
        <v>254</v>
      </c>
      <c r="G501" s="1460"/>
      <c r="H501" s="1561"/>
    </row>
    <row r="502" spans="1:11" s="1541" customFormat="1">
      <c r="A502" s="1518"/>
      <c r="B502" s="1518"/>
      <c r="C502" s="1522" t="s">
        <v>55</v>
      </c>
      <c r="D502" s="1516" t="s">
        <v>4827</v>
      </c>
      <c r="E502" s="1545" t="s">
        <v>34</v>
      </c>
      <c r="F502" s="1545">
        <v>15</v>
      </c>
      <c r="G502" s="1461"/>
      <c r="H502" s="1557">
        <f>SUM(F502*G502)</f>
        <v>0</v>
      </c>
      <c r="J502" s="1548"/>
      <c r="K502" s="1591"/>
    </row>
    <row r="503" spans="1:11" s="1541" customFormat="1">
      <c r="A503" s="1518"/>
      <c r="B503" s="1518"/>
      <c r="C503" s="1522"/>
      <c r="D503" s="1554"/>
      <c r="E503" s="1545"/>
      <c r="F503" s="1594"/>
      <c r="G503" s="1459"/>
      <c r="H503" s="1557"/>
      <c r="J503" s="1548"/>
      <c r="K503" s="1591"/>
    </row>
    <row r="504" spans="1:11" s="1541" customFormat="1" ht="89.25">
      <c r="A504" s="1518" t="str">
        <f>A484</f>
        <v>H.</v>
      </c>
      <c r="B504" s="1518" t="str">
        <f t="shared" ref="B504" si="11">B484</f>
        <v>2.</v>
      </c>
      <c r="C504" s="1518">
        <f>C484+1</f>
        <v>51</v>
      </c>
      <c r="D504" s="1554" t="s">
        <v>4828</v>
      </c>
      <c r="E504" s="1545"/>
      <c r="F504" s="1594"/>
      <c r="G504" s="1459"/>
      <c r="H504" s="1557"/>
      <c r="J504" s="1548"/>
      <c r="K504" s="1591"/>
    </row>
    <row r="505" spans="1:11" s="1554" customFormat="1">
      <c r="A505" s="1518"/>
      <c r="B505" s="1518"/>
      <c r="D505" s="1543" t="s">
        <v>4641</v>
      </c>
      <c r="E505" s="1545"/>
      <c r="F505" s="1545"/>
      <c r="G505" s="1457"/>
      <c r="H505" s="1561"/>
    </row>
    <row r="506" spans="1:11" s="1541" customFormat="1">
      <c r="A506" s="1518"/>
      <c r="B506" s="1518"/>
      <c r="C506" s="1522"/>
      <c r="D506" s="1567" t="s">
        <v>4773</v>
      </c>
      <c r="E506" s="1545"/>
      <c r="F506" s="1594"/>
      <c r="G506" s="1459"/>
      <c r="H506" s="1557"/>
      <c r="J506" s="1548"/>
      <c r="K506" s="1591"/>
    </row>
    <row r="507" spans="1:11" s="1541" customFormat="1">
      <c r="A507" s="1518"/>
      <c r="B507" s="1518"/>
      <c r="C507" s="1522"/>
      <c r="D507" s="1595" t="s">
        <v>4774</v>
      </c>
      <c r="E507" s="1545"/>
      <c r="F507" s="1594"/>
      <c r="G507" s="1459"/>
      <c r="H507" s="1557"/>
      <c r="J507" s="1548"/>
      <c r="K507" s="1591"/>
    </row>
    <row r="508" spans="1:11" s="1541" customFormat="1">
      <c r="A508" s="1518"/>
      <c r="B508" s="1518"/>
      <c r="C508" s="1522"/>
      <c r="D508" s="1595" t="s">
        <v>4775</v>
      </c>
      <c r="E508" s="1545"/>
      <c r="F508" s="1594"/>
      <c r="G508" s="1459"/>
      <c r="H508" s="1557"/>
      <c r="J508" s="1548"/>
      <c r="K508" s="1591"/>
    </row>
    <row r="509" spans="1:11" s="1541" customFormat="1">
      <c r="A509" s="1518"/>
      <c r="B509" s="1518"/>
      <c r="C509" s="1522"/>
      <c r="D509" s="1567" t="s">
        <v>4789</v>
      </c>
      <c r="E509" s="1545"/>
      <c r="F509" s="1594"/>
      <c r="G509" s="1459"/>
      <c r="H509" s="1557"/>
      <c r="J509" s="1548"/>
      <c r="K509" s="1591"/>
    </row>
    <row r="510" spans="1:11" s="1541" customFormat="1">
      <c r="A510" s="1518"/>
      <c r="B510" s="1518"/>
      <c r="C510" s="1522"/>
      <c r="D510" s="1567" t="s">
        <v>4777</v>
      </c>
      <c r="E510" s="1545"/>
      <c r="F510" s="1594"/>
      <c r="G510" s="1459"/>
      <c r="H510" s="1557"/>
      <c r="J510" s="1548"/>
      <c r="K510" s="1591"/>
    </row>
    <row r="511" spans="1:11" s="1541" customFormat="1">
      <c r="A511" s="1518"/>
      <c r="B511" s="1518"/>
      <c r="C511" s="1522"/>
      <c r="D511" s="1567" t="s">
        <v>4790</v>
      </c>
      <c r="E511" s="1545"/>
      <c r="F511" s="1594"/>
      <c r="G511" s="1459"/>
      <c r="H511" s="1557"/>
      <c r="J511" s="1548"/>
      <c r="K511" s="1591"/>
    </row>
    <row r="512" spans="1:11" s="1541" customFormat="1">
      <c r="A512" s="1518"/>
      <c r="B512" s="1518"/>
      <c r="C512" s="1522"/>
      <c r="D512" s="1567" t="s">
        <v>4804</v>
      </c>
      <c r="E512" s="1545"/>
      <c r="F512" s="1594"/>
      <c r="G512" s="1459"/>
      <c r="H512" s="1557"/>
      <c r="J512" s="1548"/>
      <c r="K512" s="1591"/>
    </row>
    <row r="513" spans="1:11" s="1541" customFormat="1">
      <c r="A513" s="1518"/>
      <c r="B513" s="1518"/>
      <c r="C513" s="1522"/>
      <c r="D513" s="1567" t="s">
        <v>4825</v>
      </c>
      <c r="E513" s="1545"/>
      <c r="F513" s="1594"/>
      <c r="G513" s="1459"/>
      <c r="H513" s="1557"/>
      <c r="J513" s="1548"/>
      <c r="K513" s="1591"/>
    </row>
    <row r="514" spans="1:11" s="1541" customFormat="1">
      <c r="A514" s="1518"/>
      <c r="B514" s="1518"/>
      <c r="C514" s="1522"/>
      <c r="D514" s="1568" t="s">
        <v>4826</v>
      </c>
      <c r="E514" s="1545"/>
      <c r="F514" s="1594"/>
      <c r="G514" s="1459"/>
      <c r="H514" s="1557"/>
      <c r="J514" s="1548"/>
      <c r="K514" s="1591"/>
    </row>
    <row r="515" spans="1:11" s="1541" customFormat="1">
      <c r="A515" s="1518"/>
      <c r="B515" s="1518"/>
      <c r="C515" s="1522"/>
      <c r="D515" s="1567" t="s">
        <v>4781</v>
      </c>
      <c r="E515" s="1545"/>
      <c r="F515" s="1594"/>
      <c r="G515" s="1459"/>
      <c r="H515" s="1557"/>
      <c r="J515" s="1548"/>
      <c r="K515" s="1591"/>
    </row>
    <row r="516" spans="1:11" s="1541" customFormat="1">
      <c r="A516" s="1518"/>
      <c r="B516" s="1518"/>
      <c r="C516" s="1522"/>
      <c r="D516" s="1567" t="s">
        <v>4794</v>
      </c>
      <c r="E516" s="1545"/>
      <c r="F516" s="1594"/>
      <c r="G516" s="1459"/>
      <c r="H516" s="1557"/>
      <c r="J516" s="1548"/>
      <c r="K516" s="1591"/>
    </row>
    <row r="517" spans="1:11" s="1541" customFormat="1">
      <c r="A517" s="1518"/>
      <c r="B517" s="1518"/>
      <c r="C517" s="1522"/>
      <c r="D517" s="1567" t="s">
        <v>4795</v>
      </c>
      <c r="E517" s="1545"/>
      <c r="F517" s="1594"/>
      <c r="G517" s="1459"/>
      <c r="H517" s="1557"/>
      <c r="J517" s="1548"/>
      <c r="K517" s="1591"/>
    </row>
    <row r="518" spans="1:11" s="1541" customFormat="1">
      <c r="A518" s="1518"/>
      <c r="B518" s="1518"/>
      <c r="C518" s="1522"/>
      <c r="D518" s="1567" t="s">
        <v>4784</v>
      </c>
      <c r="E518" s="1545"/>
      <c r="F518" s="1594"/>
      <c r="G518" s="1459"/>
      <c r="H518" s="1557"/>
      <c r="J518" s="1548"/>
      <c r="K518" s="1591"/>
    </row>
    <row r="519" spans="1:11" s="1541" customFormat="1">
      <c r="A519" s="1518"/>
      <c r="B519" s="1518"/>
      <c r="C519" s="1522"/>
      <c r="D519" s="1567" t="s">
        <v>4785</v>
      </c>
      <c r="E519" s="1545"/>
      <c r="F519" s="1594"/>
      <c r="G519" s="1459"/>
      <c r="H519" s="1557"/>
      <c r="J519" s="1548"/>
      <c r="K519" s="1591"/>
    </row>
    <row r="520" spans="1:11" s="1541" customFormat="1">
      <c r="A520" s="1518"/>
      <c r="B520" s="1518"/>
      <c r="C520" s="1522"/>
      <c r="D520" s="1567" t="s">
        <v>4796</v>
      </c>
      <c r="E520" s="1545"/>
      <c r="F520" s="1594"/>
      <c r="G520" s="1459"/>
      <c r="H520" s="1557"/>
      <c r="J520" s="1548"/>
      <c r="K520" s="1591"/>
    </row>
    <row r="521" spans="1:11" s="1562" customFormat="1">
      <c r="A521" s="1522"/>
      <c r="B521" s="1522"/>
      <c r="C521" s="1522"/>
      <c r="D521" s="1552" t="s">
        <v>254</v>
      </c>
      <c r="G521" s="1460"/>
      <c r="H521" s="1561"/>
    </row>
    <row r="522" spans="1:11" s="1541" customFormat="1">
      <c r="A522" s="1518"/>
      <c r="B522" s="1518"/>
      <c r="C522" s="1522" t="s">
        <v>55</v>
      </c>
      <c r="D522" s="1516" t="s">
        <v>4829</v>
      </c>
      <c r="E522" s="1545" t="s">
        <v>34</v>
      </c>
      <c r="F522" s="1545">
        <v>5</v>
      </c>
      <c r="G522" s="1461"/>
      <c r="H522" s="1557">
        <f>SUM(F522*G522)</f>
        <v>0</v>
      </c>
      <c r="J522" s="1548"/>
      <c r="K522" s="1591"/>
    </row>
    <row r="523" spans="1:11" s="1541" customFormat="1">
      <c r="A523" s="1518"/>
      <c r="B523" s="1518"/>
      <c r="C523" s="1522"/>
      <c r="D523" s="1554"/>
      <c r="E523" s="1545"/>
      <c r="F523" s="1594"/>
      <c r="G523" s="1459"/>
      <c r="H523" s="1557"/>
      <c r="J523" s="1548"/>
      <c r="K523" s="1591"/>
    </row>
    <row r="524" spans="1:11" s="1541" customFormat="1" ht="25.5">
      <c r="A524" s="1518" t="str">
        <f>A504</f>
        <v>H.</v>
      </c>
      <c r="B524" s="1518" t="str">
        <f t="shared" ref="B524" si="12">B504</f>
        <v>2.</v>
      </c>
      <c r="C524" s="1518">
        <f>C504+1</f>
        <v>52</v>
      </c>
      <c r="D524" s="1554" t="s">
        <v>4830</v>
      </c>
      <c r="E524" s="1545"/>
      <c r="F524" s="1594"/>
      <c r="G524" s="1459"/>
      <c r="H524" s="1557"/>
      <c r="J524" s="1548"/>
      <c r="K524" s="1591"/>
    </row>
    <row r="525" spans="1:11" s="1554" customFormat="1">
      <c r="A525" s="1518"/>
      <c r="B525" s="1518"/>
      <c r="D525" s="1543" t="s">
        <v>4641</v>
      </c>
      <c r="E525" s="1545"/>
      <c r="F525" s="1545"/>
      <c r="G525" s="1457"/>
      <c r="H525" s="1561"/>
    </row>
    <row r="526" spans="1:11" s="1541" customFormat="1">
      <c r="A526" s="1518"/>
      <c r="B526" s="1518"/>
      <c r="C526" s="1522"/>
      <c r="D526" s="1597" t="s">
        <v>4831</v>
      </c>
      <c r="E526" s="1545"/>
      <c r="F526" s="1594"/>
      <c r="G526" s="1459"/>
      <c r="H526" s="1557"/>
      <c r="J526" s="1548"/>
      <c r="K526" s="1591"/>
    </row>
    <row r="527" spans="1:11" s="1562" customFormat="1">
      <c r="A527" s="1522"/>
      <c r="B527" s="1522"/>
      <c r="C527" s="1522"/>
      <c r="D527" s="1552" t="s">
        <v>254</v>
      </c>
      <c r="G527" s="1460"/>
      <c r="H527" s="1561"/>
    </row>
    <row r="528" spans="1:11" s="1541" customFormat="1">
      <c r="A528" s="1518"/>
      <c r="B528" s="1518"/>
      <c r="C528" s="1522" t="s">
        <v>55</v>
      </c>
      <c r="D528" s="1554" t="s">
        <v>4832</v>
      </c>
      <c r="E528" s="1545" t="s">
        <v>2243</v>
      </c>
      <c r="F528" s="1545">
        <v>5</v>
      </c>
      <c r="G528" s="1461"/>
      <c r="H528" s="1557">
        <f>SUM(F528*G528)</f>
        <v>0</v>
      </c>
      <c r="J528" s="1548"/>
      <c r="K528" s="1591"/>
    </row>
    <row r="529" spans="1:11" s="1541" customFormat="1">
      <c r="A529" s="1518"/>
      <c r="B529" s="1518"/>
      <c r="C529" s="1522"/>
      <c r="D529" s="1554"/>
      <c r="E529" s="1545"/>
      <c r="F529" s="1594"/>
      <c r="G529" s="1459"/>
      <c r="H529" s="1557"/>
      <c r="J529" s="1548"/>
      <c r="K529" s="1591"/>
    </row>
    <row r="530" spans="1:11" s="1541" customFormat="1" ht="89.25">
      <c r="A530" s="1518" t="str">
        <f>A524</f>
        <v>H.</v>
      </c>
      <c r="B530" s="1518" t="str">
        <f t="shared" ref="B530" si="13">B524</f>
        <v>2.</v>
      </c>
      <c r="C530" s="1518">
        <f>C524+1</f>
        <v>53</v>
      </c>
      <c r="D530" s="1554" t="s">
        <v>4833</v>
      </c>
      <c r="E530" s="1545"/>
      <c r="F530" s="1594"/>
      <c r="G530" s="1459"/>
      <c r="H530" s="1557"/>
      <c r="J530" s="1548"/>
      <c r="K530" s="1591"/>
    </row>
    <row r="531" spans="1:11" s="1554" customFormat="1">
      <c r="A531" s="1518"/>
      <c r="B531" s="1518"/>
      <c r="D531" s="1543" t="s">
        <v>4641</v>
      </c>
      <c r="E531" s="1545"/>
      <c r="F531" s="1545"/>
      <c r="G531" s="1457"/>
      <c r="H531" s="1561"/>
    </row>
    <row r="532" spans="1:11" s="1541" customFormat="1">
      <c r="A532" s="1518"/>
      <c r="B532" s="1518"/>
      <c r="C532" s="1522"/>
      <c r="D532" s="1567" t="s">
        <v>4773</v>
      </c>
      <c r="E532" s="1545"/>
      <c r="F532" s="1594"/>
      <c r="G532" s="1459"/>
      <c r="H532" s="1557"/>
      <c r="J532" s="1548"/>
      <c r="K532" s="1591"/>
    </row>
    <row r="533" spans="1:11" s="1541" customFormat="1">
      <c r="A533" s="1518"/>
      <c r="B533" s="1518"/>
      <c r="C533" s="1522"/>
      <c r="D533" s="1595" t="s">
        <v>4774</v>
      </c>
      <c r="E533" s="1545"/>
      <c r="F533" s="1594"/>
      <c r="G533" s="1459"/>
      <c r="H533" s="1557"/>
      <c r="J533" s="1548"/>
      <c r="K533" s="1591"/>
    </row>
    <row r="534" spans="1:11" s="1541" customFormat="1">
      <c r="A534" s="1518"/>
      <c r="B534" s="1518"/>
      <c r="C534" s="1522"/>
      <c r="D534" s="1595" t="s">
        <v>4775</v>
      </c>
      <c r="E534" s="1545"/>
      <c r="F534" s="1594"/>
      <c r="G534" s="1459"/>
      <c r="H534" s="1557"/>
      <c r="J534" s="1548"/>
      <c r="K534" s="1591"/>
    </row>
    <row r="535" spans="1:11" s="1541" customFormat="1">
      <c r="A535" s="1518"/>
      <c r="B535" s="1518"/>
      <c r="C535" s="1522"/>
      <c r="D535" s="1567" t="s">
        <v>4834</v>
      </c>
      <c r="E535" s="1545"/>
      <c r="F535" s="1594"/>
      <c r="G535" s="1459"/>
      <c r="H535" s="1557"/>
      <c r="J535" s="1548"/>
      <c r="K535" s="1591"/>
    </row>
    <row r="536" spans="1:11" s="1541" customFormat="1">
      <c r="A536" s="1518"/>
      <c r="B536" s="1518"/>
      <c r="C536" s="1522"/>
      <c r="D536" s="1567" t="s">
        <v>4777</v>
      </c>
      <c r="E536" s="1545"/>
      <c r="F536" s="1594"/>
      <c r="G536" s="1459"/>
      <c r="H536" s="1557"/>
      <c r="J536" s="1548"/>
      <c r="K536" s="1591"/>
    </row>
    <row r="537" spans="1:11" s="1541" customFormat="1">
      <c r="A537" s="1518"/>
      <c r="B537" s="1518"/>
      <c r="C537" s="1522"/>
      <c r="D537" s="1567" t="s">
        <v>4790</v>
      </c>
      <c r="E537" s="1545"/>
      <c r="F537" s="1594"/>
      <c r="G537" s="1459"/>
      <c r="H537" s="1557"/>
      <c r="J537" s="1548"/>
      <c r="K537" s="1591"/>
    </row>
    <row r="538" spans="1:11" s="1541" customFormat="1">
      <c r="A538" s="1518"/>
      <c r="B538" s="1518"/>
      <c r="C538" s="1522"/>
      <c r="D538" s="1567" t="s">
        <v>4791</v>
      </c>
      <c r="E538" s="1545"/>
      <c r="F538" s="1594"/>
      <c r="G538" s="1459"/>
      <c r="H538" s="1557"/>
      <c r="J538" s="1548"/>
      <c r="K538" s="1591"/>
    </row>
    <row r="539" spans="1:11" s="1541" customFormat="1">
      <c r="A539" s="1518"/>
      <c r="B539" s="1518"/>
      <c r="C539" s="1522"/>
      <c r="D539" s="1567" t="s">
        <v>4835</v>
      </c>
      <c r="E539" s="1545"/>
      <c r="F539" s="1594"/>
      <c r="G539" s="1459"/>
      <c r="H539" s="1557"/>
      <c r="J539" s="1548"/>
      <c r="K539" s="1591"/>
    </row>
    <row r="540" spans="1:11" s="1541" customFormat="1">
      <c r="A540" s="1518"/>
      <c r="B540" s="1518"/>
      <c r="C540" s="1522"/>
      <c r="D540" s="1568" t="s">
        <v>4826</v>
      </c>
      <c r="E540" s="1545"/>
      <c r="F540" s="1594"/>
      <c r="G540" s="1459"/>
      <c r="H540" s="1557"/>
      <c r="J540" s="1548"/>
      <c r="K540" s="1591"/>
    </row>
    <row r="541" spans="1:11" s="1541" customFormat="1">
      <c r="A541" s="1518"/>
      <c r="B541" s="1518"/>
      <c r="C541" s="1522"/>
      <c r="D541" s="1567" t="s">
        <v>4781</v>
      </c>
      <c r="E541" s="1545"/>
      <c r="F541" s="1594"/>
      <c r="G541" s="1459"/>
      <c r="H541" s="1557"/>
      <c r="J541" s="1548"/>
      <c r="K541" s="1591"/>
    </row>
    <row r="542" spans="1:11" s="1541" customFormat="1">
      <c r="A542" s="1518"/>
      <c r="B542" s="1518"/>
      <c r="C542" s="1522"/>
      <c r="D542" s="1567" t="s">
        <v>4836</v>
      </c>
      <c r="E542" s="1545"/>
      <c r="F542" s="1594"/>
      <c r="G542" s="1459"/>
      <c r="H542" s="1557"/>
      <c r="J542" s="1548"/>
      <c r="K542" s="1591"/>
    </row>
    <row r="543" spans="1:11" s="1541" customFormat="1">
      <c r="A543" s="1518"/>
      <c r="B543" s="1518"/>
      <c r="C543" s="1522"/>
      <c r="D543" s="1567" t="s">
        <v>4795</v>
      </c>
      <c r="E543" s="1545"/>
      <c r="F543" s="1594"/>
      <c r="G543" s="1459"/>
      <c r="H543" s="1557"/>
      <c r="J543" s="1548"/>
      <c r="K543" s="1591"/>
    </row>
    <row r="544" spans="1:11" s="1541" customFormat="1">
      <c r="A544" s="1518"/>
      <c r="B544" s="1518"/>
      <c r="C544" s="1522"/>
      <c r="D544" s="1567" t="s">
        <v>4837</v>
      </c>
      <c r="E544" s="1545"/>
      <c r="F544" s="1594"/>
      <c r="G544" s="1459"/>
      <c r="H544" s="1557"/>
      <c r="J544" s="1548"/>
      <c r="K544" s="1591"/>
    </row>
    <row r="545" spans="1:11" s="1541" customFormat="1">
      <c r="A545" s="1518"/>
      <c r="B545" s="1518"/>
      <c r="C545" s="1522"/>
      <c r="D545" s="1567" t="s">
        <v>4838</v>
      </c>
      <c r="E545" s="1545"/>
      <c r="F545" s="1594"/>
      <c r="G545" s="1459"/>
      <c r="H545" s="1557"/>
      <c r="J545" s="1548"/>
      <c r="K545" s="1591"/>
    </row>
    <row r="546" spans="1:11" s="1541" customFormat="1">
      <c r="A546" s="1518"/>
      <c r="B546" s="1518"/>
      <c r="C546" s="1522"/>
      <c r="D546" s="1567" t="s">
        <v>4839</v>
      </c>
      <c r="E546" s="1545"/>
      <c r="F546" s="1594"/>
      <c r="G546" s="1459"/>
      <c r="H546" s="1557"/>
      <c r="J546" s="1548"/>
      <c r="K546" s="1591"/>
    </row>
    <row r="547" spans="1:11" s="1562" customFormat="1">
      <c r="A547" s="1522"/>
      <c r="B547" s="1522"/>
      <c r="C547" s="1522"/>
      <c r="D547" s="1552" t="s">
        <v>254</v>
      </c>
      <c r="G547" s="1460"/>
      <c r="H547" s="1561"/>
    </row>
    <row r="548" spans="1:11" s="1541" customFormat="1">
      <c r="A548" s="1518"/>
      <c r="B548" s="1518"/>
      <c r="C548" s="1522" t="s">
        <v>55</v>
      </c>
      <c r="D548" s="1516" t="s">
        <v>4840</v>
      </c>
      <c r="E548" s="1545" t="s">
        <v>34</v>
      </c>
      <c r="F548" s="1545">
        <v>9</v>
      </c>
      <c r="G548" s="1461"/>
      <c r="H548" s="1557">
        <f>SUM(F548*G548)</f>
        <v>0</v>
      </c>
      <c r="J548" s="1548"/>
      <c r="K548" s="1591"/>
    </row>
    <row r="549" spans="1:11" s="1541" customFormat="1">
      <c r="A549" s="1518"/>
      <c r="B549" s="1518"/>
      <c r="C549" s="1522"/>
      <c r="D549" s="1554"/>
      <c r="E549" s="1545"/>
      <c r="F549" s="1594"/>
      <c r="G549" s="1459"/>
      <c r="H549" s="1557"/>
      <c r="J549" s="1548"/>
      <c r="K549" s="1591"/>
    </row>
    <row r="550" spans="1:11" s="1541" customFormat="1" ht="89.25">
      <c r="A550" s="1518" t="str">
        <f>A530</f>
        <v>H.</v>
      </c>
      <c r="B550" s="1518" t="str">
        <f t="shared" ref="B550" si="14">B530</f>
        <v>2.</v>
      </c>
      <c r="C550" s="1518">
        <f>C530+1</f>
        <v>54</v>
      </c>
      <c r="D550" s="1554" t="s">
        <v>4841</v>
      </c>
      <c r="E550" s="1545"/>
      <c r="F550" s="1594"/>
      <c r="G550" s="1459"/>
      <c r="H550" s="1557"/>
      <c r="J550" s="1548"/>
      <c r="K550" s="1591"/>
    </row>
    <row r="551" spans="1:11" s="1554" customFormat="1">
      <c r="A551" s="1518"/>
      <c r="B551" s="1518"/>
      <c r="D551" s="1543" t="s">
        <v>4641</v>
      </c>
      <c r="E551" s="1545"/>
      <c r="F551" s="1545"/>
      <c r="G551" s="1457"/>
      <c r="H551" s="1561"/>
    </row>
    <row r="552" spans="1:11" s="1541" customFormat="1">
      <c r="A552" s="1518"/>
      <c r="B552" s="1518"/>
      <c r="C552" s="1522"/>
      <c r="D552" s="1567" t="s">
        <v>4773</v>
      </c>
      <c r="E552" s="1545"/>
      <c r="F552" s="1594"/>
      <c r="G552" s="1459"/>
      <c r="H552" s="1557"/>
      <c r="J552" s="1548"/>
      <c r="K552" s="1591"/>
    </row>
    <row r="553" spans="1:11" s="1541" customFormat="1">
      <c r="A553" s="1518"/>
      <c r="B553" s="1518"/>
      <c r="C553" s="1522"/>
      <c r="D553" s="1567" t="s">
        <v>4774</v>
      </c>
      <c r="E553" s="1545"/>
      <c r="F553" s="1594"/>
      <c r="G553" s="1459"/>
      <c r="H553" s="1557"/>
      <c r="J553" s="1548"/>
      <c r="K553" s="1591"/>
    </row>
    <row r="554" spans="1:11" s="1541" customFormat="1">
      <c r="A554" s="1518"/>
      <c r="B554" s="1518"/>
      <c r="C554" s="1522"/>
      <c r="D554" s="1595" t="s">
        <v>4775</v>
      </c>
      <c r="E554" s="1545"/>
      <c r="F554" s="1594"/>
      <c r="G554" s="1459"/>
      <c r="H554" s="1557"/>
      <c r="J554" s="1548"/>
      <c r="K554" s="1591"/>
    </row>
    <row r="555" spans="1:11" s="1541" customFormat="1">
      <c r="A555" s="1518"/>
      <c r="B555" s="1518"/>
      <c r="C555" s="1522"/>
      <c r="D555" s="1567" t="s">
        <v>4842</v>
      </c>
      <c r="E555" s="1545"/>
      <c r="F555" s="1594"/>
      <c r="G555" s="1459"/>
      <c r="H555" s="1557"/>
      <c r="J555" s="1548"/>
      <c r="K555" s="1591"/>
    </row>
    <row r="556" spans="1:11" s="1541" customFormat="1">
      <c r="A556" s="1518"/>
      <c r="B556" s="1518"/>
      <c r="C556" s="1522"/>
      <c r="D556" s="1567" t="s">
        <v>4843</v>
      </c>
      <c r="E556" s="1545"/>
      <c r="F556" s="1594"/>
      <c r="G556" s="1459"/>
      <c r="H556" s="1557"/>
      <c r="J556" s="1548"/>
      <c r="K556" s="1591"/>
    </row>
    <row r="557" spans="1:11" s="1541" customFormat="1">
      <c r="A557" s="1518"/>
      <c r="B557" s="1518"/>
      <c r="C557" s="1522"/>
      <c r="D557" s="1567" t="s">
        <v>4803</v>
      </c>
      <c r="E557" s="1545"/>
      <c r="F557" s="1594"/>
      <c r="G557" s="1459"/>
      <c r="H557" s="1557"/>
      <c r="J557" s="1548"/>
      <c r="K557" s="1591"/>
    </row>
    <row r="558" spans="1:11" s="1541" customFormat="1">
      <c r="A558" s="1518"/>
      <c r="B558" s="1518"/>
      <c r="C558" s="1522"/>
      <c r="D558" s="1567" t="s">
        <v>4844</v>
      </c>
      <c r="E558" s="1545"/>
      <c r="F558" s="1594"/>
      <c r="G558" s="1459"/>
      <c r="H558" s="1557"/>
      <c r="J558" s="1548"/>
      <c r="K558" s="1591"/>
    </row>
    <row r="559" spans="1:11" s="1541" customFormat="1">
      <c r="A559" s="1518"/>
      <c r="B559" s="1518"/>
      <c r="C559" s="1522"/>
      <c r="D559" s="1567" t="s">
        <v>4845</v>
      </c>
      <c r="E559" s="1545"/>
      <c r="F559" s="1594"/>
      <c r="G559" s="1459"/>
      <c r="H559" s="1557"/>
      <c r="J559" s="1548"/>
      <c r="K559" s="1591"/>
    </row>
    <row r="560" spans="1:11" s="1541" customFormat="1">
      <c r="A560" s="1518"/>
      <c r="B560" s="1518"/>
      <c r="C560" s="1522"/>
      <c r="D560" s="1567" t="s">
        <v>4846</v>
      </c>
      <c r="E560" s="1545"/>
      <c r="F560" s="1594"/>
      <c r="G560" s="1459"/>
      <c r="H560" s="1557"/>
      <c r="J560" s="1548"/>
      <c r="K560" s="1591"/>
    </row>
    <row r="561" spans="1:11" s="1541" customFormat="1">
      <c r="A561" s="1518"/>
      <c r="B561" s="1518"/>
      <c r="C561" s="1522"/>
      <c r="D561" s="1567" t="s">
        <v>4781</v>
      </c>
      <c r="E561" s="1545"/>
      <c r="F561" s="1594"/>
      <c r="G561" s="1459"/>
      <c r="H561" s="1557"/>
      <c r="J561" s="1548"/>
      <c r="K561" s="1591"/>
    </row>
    <row r="562" spans="1:11" s="1541" customFormat="1">
      <c r="A562" s="1518"/>
      <c r="B562" s="1518"/>
      <c r="C562" s="1522"/>
      <c r="D562" s="1567" t="s">
        <v>4847</v>
      </c>
      <c r="E562" s="1545"/>
      <c r="F562" s="1594"/>
      <c r="G562" s="1459"/>
      <c r="H562" s="1557"/>
      <c r="J562" s="1548"/>
      <c r="K562" s="1591"/>
    </row>
    <row r="563" spans="1:11" s="1541" customFormat="1">
      <c r="A563" s="1518"/>
      <c r="B563" s="1518"/>
      <c r="C563" s="1522"/>
      <c r="D563" s="1567" t="s">
        <v>4795</v>
      </c>
      <c r="E563" s="1545"/>
      <c r="F563" s="1594"/>
      <c r="G563" s="1459"/>
      <c r="H563" s="1557"/>
      <c r="J563" s="1548"/>
      <c r="K563" s="1591"/>
    </row>
    <row r="564" spans="1:11" s="1541" customFormat="1">
      <c r="A564" s="1518"/>
      <c r="B564" s="1518"/>
      <c r="C564" s="1522"/>
      <c r="D564" s="1567" t="s">
        <v>4848</v>
      </c>
      <c r="E564" s="1545"/>
      <c r="F564" s="1594"/>
      <c r="G564" s="1459"/>
      <c r="H564" s="1557"/>
      <c r="J564" s="1548"/>
      <c r="K564" s="1591"/>
    </row>
    <row r="565" spans="1:11" s="1541" customFormat="1">
      <c r="A565" s="1518"/>
      <c r="B565" s="1518"/>
      <c r="C565" s="1522"/>
      <c r="D565" s="1567" t="s">
        <v>4849</v>
      </c>
      <c r="E565" s="1545"/>
      <c r="F565" s="1594"/>
      <c r="G565" s="1459"/>
      <c r="H565" s="1557"/>
      <c r="J565" s="1548"/>
      <c r="K565" s="1591"/>
    </row>
    <row r="566" spans="1:11" s="1541" customFormat="1">
      <c r="A566" s="1518"/>
      <c r="B566" s="1518"/>
      <c r="C566" s="1522"/>
      <c r="D566" s="1567" t="s">
        <v>4786</v>
      </c>
      <c r="E566" s="1545"/>
      <c r="F566" s="1594"/>
      <c r="G566" s="1459"/>
      <c r="H566" s="1557"/>
      <c r="J566" s="1548"/>
      <c r="K566" s="1591"/>
    </row>
    <row r="567" spans="1:11" s="1562" customFormat="1">
      <c r="A567" s="1522"/>
      <c r="B567" s="1522"/>
      <c r="C567" s="1522"/>
      <c r="D567" s="1552" t="s">
        <v>254</v>
      </c>
      <c r="G567" s="1460"/>
      <c r="H567" s="1561"/>
    </row>
    <row r="568" spans="1:11" s="1541" customFormat="1">
      <c r="A568" s="1518"/>
      <c r="B568" s="1518"/>
      <c r="C568" s="1522" t="s">
        <v>55</v>
      </c>
      <c r="D568" s="1516" t="s">
        <v>4850</v>
      </c>
      <c r="E568" s="1545" t="s">
        <v>34</v>
      </c>
      <c r="F568" s="1545">
        <v>28</v>
      </c>
      <c r="G568" s="1461"/>
      <c r="H568" s="1557">
        <f>SUM(F568*G568)</f>
        <v>0</v>
      </c>
      <c r="J568" s="1548"/>
      <c r="K568" s="1591"/>
    </row>
    <row r="569" spans="1:11" s="1541" customFormat="1">
      <c r="A569" s="1518"/>
      <c r="B569" s="1518"/>
      <c r="C569" s="1522"/>
      <c r="D569" s="1554"/>
      <c r="E569" s="1545"/>
      <c r="F569" s="1594"/>
      <c r="G569" s="1459"/>
      <c r="H569" s="1557"/>
      <c r="J569" s="1548"/>
      <c r="K569" s="1591"/>
    </row>
    <row r="570" spans="1:11" s="1541" customFormat="1" ht="89.25">
      <c r="A570" s="1518" t="str">
        <f>A550</f>
        <v>H.</v>
      </c>
      <c r="B570" s="1518" t="str">
        <f t="shared" ref="B570" si="15">B550</f>
        <v>2.</v>
      </c>
      <c r="C570" s="1518">
        <f>C550+1</f>
        <v>55</v>
      </c>
      <c r="D570" s="1554" t="s">
        <v>4851</v>
      </c>
      <c r="E570" s="1545"/>
      <c r="F570" s="1594"/>
      <c r="G570" s="1459"/>
      <c r="H570" s="1557"/>
      <c r="J570" s="1548"/>
      <c r="K570" s="1591"/>
    </row>
    <row r="571" spans="1:11" s="1554" customFormat="1">
      <c r="A571" s="1518"/>
      <c r="B571" s="1518"/>
      <c r="D571" s="1543" t="s">
        <v>4641</v>
      </c>
      <c r="E571" s="1545"/>
      <c r="F571" s="1545"/>
      <c r="G571" s="1457"/>
      <c r="H571" s="1561"/>
    </row>
    <row r="572" spans="1:11" s="1541" customFormat="1">
      <c r="A572" s="1518"/>
      <c r="B572" s="1518"/>
      <c r="C572" s="1522"/>
      <c r="D572" s="1567" t="s">
        <v>4773</v>
      </c>
      <c r="E572" s="1545"/>
      <c r="F572" s="1594"/>
      <c r="G572" s="1459"/>
      <c r="H572" s="1557"/>
      <c r="J572" s="1548"/>
      <c r="K572" s="1591"/>
    </row>
    <row r="573" spans="1:11" s="1541" customFormat="1">
      <c r="A573" s="1518"/>
      <c r="B573" s="1518"/>
      <c r="C573" s="1522"/>
      <c r="D573" s="1567" t="s">
        <v>4774</v>
      </c>
      <c r="E573" s="1545"/>
      <c r="F573" s="1594"/>
      <c r="G573" s="1459"/>
      <c r="H573" s="1557"/>
      <c r="J573" s="1548"/>
      <c r="K573" s="1591"/>
    </row>
    <row r="574" spans="1:11" s="1541" customFormat="1">
      <c r="A574" s="1518"/>
      <c r="B574" s="1518"/>
      <c r="C574" s="1522"/>
      <c r="D574" s="1595" t="s">
        <v>4775</v>
      </c>
      <c r="E574" s="1545"/>
      <c r="F574" s="1594"/>
      <c r="G574" s="1459"/>
      <c r="H574" s="1557"/>
      <c r="J574" s="1548"/>
      <c r="K574" s="1591"/>
    </row>
    <row r="575" spans="1:11" s="1541" customFormat="1">
      <c r="A575" s="1518"/>
      <c r="B575" s="1518"/>
      <c r="C575" s="1522"/>
      <c r="D575" s="1567" t="s">
        <v>4842</v>
      </c>
      <c r="E575" s="1545"/>
      <c r="F575" s="1594"/>
      <c r="G575" s="1459"/>
      <c r="H575" s="1557"/>
      <c r="J575" s="1548"/>
      <c r="K575" s="1591"/>
    </row>
    <row r="576" spans="1:11" s="1541" customFormat="1">
      <c r="A576" s="1518"/>
      <c r="B576" s="1518"/>
      <c r="C576" s="1522"/>
      <c r="D576" s="1567" t="s">
        <v>4843</v>
      </c>
      <c r="E576" s="1545"/>
      <c r="F576" s="1594"/>
      <c r="G576" s="1459"/>
      <c r="H576" s="1557"/>
      <c r="J576" s="1548"/>
      <c r="K576" s="1591"/>
    </row>
    <row r="577" spans="1:11" s="1541" customFormat="1">
      <c r="A577" s="1518"/>
      <c r="B577" s="1518"/>
      <c r="C577" s="1522"/>
      <c r="D577" s="1567" t="s">
        <v>4803</v>
      </c>
      <c r="E577" s="1545"/>
      <c r="F577" s="1594"/>
      <c r="G577" s="1459"/>
      <c r="H577" s="1557"/>
      <c r="J577" s="1548"/>
      <c r="K577" s="1591"/>
    </row>
    <row r="578" spans="1:11" s="1541" customFormat="1">
      <c r="A578" s="1518"/>
      <c r="B578" s="1518"/>
      <c r="C578" s="1522"/>
      <c r="D578" s="1567" t="s">
        <v>4844</v>
      </c>
      <c r="E578" s="1545"/>
      <c r="F578" s="1594"/>
      <c r="G578" s="1459"/>
      <c r="H578" s="1557"/>
      <c r="J578" s="1548"/>
      <c r="K578" s="1591"/>
    </row>
    <row r="579" spans="1:11" s="1541" customFormat="1">
      <c r="A579" s="1518"/>
      <c r="B579" s="1518"/>
      <c r="C579" s="1522"/>
      <c r="D579" s="1567" t="s">
        <v>4845</v>
      </c>
      <c r="E579" s="1545"/>
      <c r="F579" s="1594"/>
      <c r="G579" s="1459"/>
      <c r="H579" s="1557"/>
      <c r="J579" s="1548"/>
      <c r="K579" s="1591"/>
    </row>
    <row r="580" spans="1:11" s="1541" customFormat="1">
      <c r="A580" s="1518"/>
      <c r="B580" s="1518"/>
      <c r="C580" s="1522"/>
      <c r="D580" s="1567" t="s">
        <v>4826</v>
      </c>
      <c r="E580" s="1545"/>
      <c r="F580" s="1594"/>
      <c r="G580" s="1459"/>
      <c r="H580" s="1557"/>
      <c r="J580" s="1548"/>
      <c r="K580" s="1591"/>
    </row>
    <row r="581" spans="1:11" s="1541" customFormat="1">
      <c r="A581" s="1518"/>
      <c r="B581" s="1518"/>
      <c r="C581" s="1522"/>
      <c r="D581" s="1567" t="s">
        <v>4781</v>
      </c>
      <c r="E581" s="1545"/>
      <c r="F581" s="1594"/>
      <c r="G581" s="1459"/>
      <c r="H581" s="1557"/>
      <c r="J581" s="1548"/>
      <c r="K581" s="1591"/>
    </row>
    <row r="582" spans="1:11" s="1541" customFormat="1">
      <c r="A582" s="1518"/>
      <c r="B582" s="1518"/>
      <c r="C582" s="1522"/>
      <c r="D582" s="1567" t="s">
        <v>4847</v>
      </c>
      <c r="E582" s="1545"/>
      <c r="F582" s="1594"/>
      <c r="G582" s="1459"/>
      <c r="H582" s="1557"/>
      <c r="J582" s="1548"/>
      <c r="K582" s="1591"/>
    </row>
    <row r="583" spans="1:11" s="1541" customFormat="1">
      <c r="A583" s="1518"/>
      <c r="B583" s="1518"/>
      <c r="C583" s="1522"/>
      <c r="D583" s="1567" t="s">
        <v>4795</v>
      </c>
      <c r="E583" s="1545"/>
      <c r="F583" s="1594"/>
      <c r="G583" s="1459"/>
      <c r="H583" s="1557"/>
      <c r="J583" s="1548"/>
      <c r="K583" s="1591"/>
    </row>
    <row r="584" spans="1:11" s="1541" customFormat="1">
      <c r="A584" s="1518"/>
      <c r="B584" s="1518"/>
      <c r="C584" s="1522"/>
      <c r="D584" s="1567" t="s">
        <v>4848</v>
      </c>
      <c r="E584" s="1545"/>
      <c r="F584" s="1594"/>
      <c r="G584" s="1459"/>
      <c r="H584" s="1557"/>
      <c r="J584" s="1548"/>
      <c r="K584" s="1591"/>
    </row>
    <row r="585" spans="1:11" s="1541" customFormat="1">
      <c r="A585" s="1518"/>
      <c r="B585" s="1518"/>
      <c r="C585" s="1522"/>
      <c r="D585" s="1567" t="s">
        <v>4849</v>
      </c>
      <c r="E585" s="1545"/>
      <c r="F585" s="1594"/>
      <c r="G585" s="1459"/>
      <c r="H585" s="1557"/>
      <c r="J585" s="1548"/>
      <c r="K585" s="1591"/>
    </row>
    <row r="586" spans="1:11" s="1541" customFormat="1">
      <c r="A586" s="1518"/>
      <c r="B586" s="1518"/>
      <c r="C586" s="1522"/>
      <c r="D586" s="1567" t="s">
        <v>4786</v>
      </c>
      <c r="E586" s="1545"/>
      <c r="F586" s="1594"/>
      <c r="G586" s="1459"/>
      <c r="H586" s="1557"/>
      <c r="J586" s="1548"/>
      <c r="K586" s="1591"/>
    </row>
    <row r="587" spans="1:11" s="1562" customFormat="1">
      <c r="A587" s="1522"/>
      <c r="B587" s="1522"/>
      <c r="C587" s="1522"/>
      <c r="D587" s="1552" t="s">
        <v>254</v>
      </c>
      <c r="G587" s="1460"/>
      <c r="H587" s="1561"/>
    </row>
    <row r="588" spans="1:11" s="1541" customFormat="1">
      <c r="A588" s="1518"/>
      <c r="B588" s="1518"/>
      <c r="C588" s="1522" t="s">
        <v>55</v>
      </c>
      <c r="D588" s="1516" t="s">
        <v>4852</v>
      </c>
      <c r="E588" s="1545" t="s">
        <v>34</v>
      </c>
      <c r="F588" s="1545">
        <v>15</v>
      </c>
      <c r="G588" s="1461"/>
      <c r="H588" s="1557">
        <f>SUM(F588*G588)</f>
        <v>0</v>
      </c>
      <c r="J588" s="1548"/>
      <c r="K588" s="1591"/>
    </row>
    <row r="589" spans="1:11" s="1541" customFormat="1">
      <c r="A589" s="1518"/>
      <c r="B589" s="1518"/>
      <c r="C589" s="1522"/>
      <c r="D589" s="1554"/>
      <c r="E589" s="1545"/>
      <c r="F589" s="1594"/>
      <c r="G589" s="1459"/>
      <c r="H589" s="1557"/>
      <c r="J589" s="1548"/>
      <c r="K589" s="1591"/>
    </row>
    <row r="590" spans="1:11" s="1541" customFormat="1" ht="89.25">
      <c r="A590" s="1518" t="str">
        <f>A570</f>
        <v>H.</v>
      </c>
      <c r="B590" s="1518" t="str">
        <f>B570</f>
        <v>2.</v>
      </c>
      <c r="C590" s="1522">
        <f>C570+1</f>
        <v>56</v>
      </c>
      <c r="D590" s="1554" t="s">
        <v>4853</v>
      </c>
      <c r="E590" s="1545"/>
      <c r="F590" s="1594"/>
      <c r="G590" s="1459"/>
      <c r="H590" s="1557"/>
      <c r="J590" s="1548"/>
      <c r="K590" s="1591"/>
    </row>
    <row r="591" spans="1:11" s="1554" customFormat="1">
      <c r="A591" s="1518"/>
      <c r="B591" s="1518"/>
      <c r="D591" s="1543" t="s">
        <v>4641</v>
      </c>
      <c r="E591" s="1545"/>
      <c r="F591" s="1545"/>
      <c r="G591" s="1457"/>
      <c r="H591" s="1561"/>
    </row>
    <row r="592" spans="1:11" s="1541" customFormat="1">
      <c r="A592" s="1518"/>
      <c r="B592" s="1518"/>
      <c r="C592" s="1522"/>
      <c r="D592" s="1567" t="s">
        <v>4773</v>
      </c>
      <c r="E592" s="1545"/>
      <c r="F592" s="1594"/>
      <c r="G592" s="1459"/>
      <c r="H592" s="1557"/>
      <c r="J592" s="1548"/>
      <c r="K592" s="1591"/>
    </row>
    <row r="593" spans="1:11" s="1541" customFormat="1">
      <c r="A593" s="1518"/>
      <c r="B593" s="1518"/>
      <c r="C593" s="1522"/>
      <c r="D593" s="1567" t="s">
        <v>4774</v>
      </c>
      <c r="E593" s="1545"/>
      <c r="F593" s="1594"/>
      <c r="G593" s="1459"/>
      <c r="H593" s="1557"/>
      <c r="J593" s="1548"/>
      <c r="K593" s="1591"/>
    </row>
    <row r="594" spans="1:11" s="1541" customFormat="1">
      <c r="A594" s="1518"/>
      <c r="B594" s="1518"/>
      <c r="C594" s="1522"/>
      <c r="D594" s="1595" t="s">
        <v>4775</v>
      </c>
      <c r="E594" s="1545"/>
      <c r="F594" s="1594"/>
      <c r="G594" s="1459"/>
      <c r="H594" s="1557"/>
      <c r="J594" s="1548"/>
      <c r="K594" s="1591"/>
    </row>
    <row r="595" spans="1:11" s="1541" customFormat="1">
      <c r="A595" s="1518"/>
      <c r="B595" s="1518"/>
      <c r="C595" s="1522"/>
      <c r="D595" s="1567" t="s">
        <v>4842</v>
      </c>
      <c r="E595" s="1545"/>
      <c r="F595" s="1594"/>
      <c r="G595" s="1459"/>
      <c r="H595" s="1557"/>
      <c r="J595" s="1548"/>
      <c r="K595" s="1591"/>
    </row>
    <row r="596" spans="1:11" s="1541" customFormat="1">
      <c r="A596" s="1518"/>
      <c r="B596" s="1518"/>
      <c r="C596" s="1522"/>
      <c r="D596" s="1567" t="s">
        <v>4843</v>
      </c>
      <c r="E596" s="1545"/>
      <c r="F596" s="1594"/>
      <c r="G596" s="1459"/>
      <c r="H596" s="1557"/>
      <c r="J596" s="1548"/>
      <c r="K596" s="1591"/>
    </row>
    <row r="597" spans="1:11" s="1541" customFormat="1">
      <c r="A597" s="1518"/>
      <c r="B597" s="1518"/>
      <c r="C597" s="1522"/>
      <c r="D597" s="1567" t="s">
        <v>4803</v>
      </c>
      <c r="E597" s="1545"/>
      <c r="F597" s="1594"/>
      <c r="G597" s="1459"/>
      <c r="H597" s="1557"/>
      <c r="J597" s="1548"/>
      <c r="K597" s="1591"/>
    </row>
    <row r="598" spans="1:11" s="1541" customFormat="1">
      <c r="A598" s="1518"/>
      <c r="B598" s="1518"/>
      <c r="C598" s="1522"/>
      <c r="D598" s="1567" t="s">
        <v>4844</v>
      </c>
      <c r="E598" s="1545"/>
      <c r="F598" s="1594"/>
      <c r="G598" s="1459"/>
      <c r="H598" s="1557"/>
      <c r="J598" s="1548"/>
      <c r="K598" s="1591"/>
    </row>
    <row r="599" spans="1:11" s="1541" customFormat="1">
      <c r="A599" s="1518"/>
      <c r="B599" s="1518"/>
      <c r="C599" s="1522"/>
      <c r="D599" s="1567" t="s">
        <v>4845</v>
      </c>
      <c r="E599" s="1545"/>
      <c r="F599" s="1594"/>
      <c r="G599" s="1459"/>
      <c r="H599" s="1557"/>
      <c r="J599" s="1548"/>
      <c r="K599" s="1591"/>
    </row>
    <row r="600" spans="1:11" s="1541" customFormat="1">
      <c r="A600" s="1518"/>
      <c r="B600" s="1518"/>
      <c r="C600" s="1522"/>
      <c r="D600" s="1567" t="s">
        <v>4854</v>
      </c>
      <c r="E600" s="1545"/>
      <c r="F600" s="1594"/>
      <c r="G600" s="1459"/>
      <c r="H600" s="1557"/>
      <c r="J600" s="1548"/>
      <c r="K600" s="1591"/>
    </row>
    <row r="601" spans="1:11" s="1541" customFormat="1">
      <c r="A601" s="1518"/>
      <c r="B601" s="1518"/>
      <c r="C601" s="1522"/>
      <c r="D601" s="1567" t="s">
        <v>4781</v>
      </c>
      <c r="E601" s="1545"/>
      <c r="F601" s="1594"/>
      <c r="G601" s="1459"/>
      <c r="H601" s="1557"/>
      <c r="J601" s="1548"/>
      <c r="K601" s="1591"/>
    </row>
    <row r="602" spans="1:11" s="1541" customFormat="1">
      <c r="A602" s="1518"/>
      <c r="B602" s="1518"/>
      <c r="C602" s="1522"/>
      <c r="D602" s="1567" t="s">
        <v>4847</v>
      </c>
      <c r="E602" s="1545"/>
      <c r="F602" s="1594"/>
      <c r="G602" s="1459"/>
      <c r="H602" s="1557"/>
      <c r="J602" s="1548"/>
      <c r="K602" s="1591"/>
    </row>
    <row r="603" spans="1:11" s="1541" customFormat="1">
      <c r="A603" s="1518"/>
      <c r="B603" s="1518"/>
      <c r="C603" s="1522"/>
      <c r="D603" s="1567" t="s">
        <v>4795</v>
      </c>
      <c r="E603" s="1545"/>
      <c r="F603" s="1594"/>
      <c r="G603" s="1459"/>
      <c r="H603" s="1557"/>
      <c r="J603" s="1548"/>
      <c r="K603" s="1591"/>
    </row>
    <row r="604" spans="1:11" s="1541" customFormat="1">
      <c r="A604" s="1518"/>
      <c r="B604" s="1518"/>
      <c r="C604" s="1522"/>
      <c r="D604" s="1567" t="s">
        <v>4848</v>
      </c>
      <c r="E604" s="1545"/>
      <c r="F604" s="1594"/>
      <c r="G604" s="1459"/>
      <c r="H604" s="1557"/>
      <c r="J604" s="1548"/>
      <c r="K604" s="1591"/>
    </row>
    <row r="605" spans="1:11" s="1541" customFormat="1">
      <c r="A605" s="1518"/>
      <c r="B605" s="1518"/>
      <c r="C605" s="1522"/>
      <c r="D605" s="1567" t="s">
        <v>4849</v>
      </c>
      <c r="E605" s="1545"/>
      <c r="F605" s="1594"/>
      <c r="G605" s="1459"/>
      <c r="H605" s="1557"/>
      <c r="J605" s="1548"/>
      <c r="K605" s="1591"/>
    </row>
    <row r="606" spans="1:11" s="1541" customFormat="1">
      <c r="A606" s="1518"/>
      <c r="B606" s="1518"/>
      <c r="C606" s="1522"/>
      <c r="D606" s="1567" t="s">
        <v>4786</v>
      </c>
      <c r="E606" s="1545"/>
      <c r="F606" s="1594"/>
      <c r="G606" s="1459"/>
      <c r="H606" s="1557"/>
      <c r="J606" s="1548"/>
      <c r="K606" s="1591"/>
    </row>
    <row r="607" spans="1:11" s="1562" customFormat="1">
      <c r="A607" s="1522"/>
      <c r="B607" s="1522"/>
      <c r="C607" s="1522"/>
      <c r="D607" s="1552" t="s">
        <v>254</v>
      </c>
      <c r="G607" s="1460"/>
      <c r="H607" s="1561"/>
    </row>
    <row r="608" spans="1:11" s="1541" customFormat="1">
      <c r="A608" s="1518"/>
      <c r="B608" s="1518"/>
      <c r="C608" s="1522" t="s">
        <v>55</v>
      </c>
      <c r="D608" s="1516" t="s">
        <v>4855</v>
      </c>
      <c r="E608" s="1545" t="s">
        <v>34</v>
      </c>
      <c r="F608" s="1545">
        <v>19</v>
      </c>
      <c r="G608" s="1461"/>
      <c r="H608" s="1557">
        <f>SUM(F608*G608)</f>
        <v>0</v>
      </c>
      <c r="J608" s="1548"/>
      <c r="K608" s="1591"/>
    </row>
    <row r="609" spans="1:11" s="1541" customFormat="1">
      <c r="A609" s="1518"/>
      <c r="B609" s="1518"/>
      <c r="C609" s="1522"/>
      <c r="D609" s="1554"/>
      <c r="E609" s="1545"/>
      <c r="F609" s="1594"/>
      <c r="G609" s="1459"/>
      <c r="H609" s="1557"/>
      <c r="J609" s="1548"/>
      <c r="K609" s="1591"/>
    </row>
    <row r="610" spans="1:11" s="1541" customFormat="1" ht="25.5">
      <c r="A610" s="1518" t="str">
        <f>A590</f>
        <v>H.</v>
      </c>
      <c r="B610" s="1518" t="str">
        <f>B590</f>
        <v>2.</v>
      </c>
      <c r="C610" s="1522">
        <f>C590+1</f>
        <v>57</v>
      </c>
      <c r="D610" s="1554" t="s">
        <v>4856</v>
      </c>
      <c r="E610" s="1545"/>
      <c r="F610" s="1594"/>
      <c r="G610" s="1459"/>
      <c r="H610" s="1557"/>
      <c r="J610" s="1548"/>
      <c r="K610" s="1591"/>
    </row>
    <row r="611" spans="1:11" s="1554" customFormat="1">
      <c r="A611" s="1518"/>
      <c r="B611" s="1518"/>
      <c r="D611" s="1543" t="s">
        <v>4641</v>
      </c>
      <c r="E611" s="1545"/>
      <c r="F611" s="1545"/>
      <c r="G611" s="1457"/>
      <c r="H611" s="1561"/>
    </row>
    <row r="612" spans="1:11" s="1541" customFormat="1">
      <c r="A612" s="1518"/>
      <c r="B612" s="1518"/>
      <c r="C612" s="1522"/>
      <c r="D612" s="1597" t="s">
        <v>4831</v>
      </c>
      <c r="E612" s="1545"/>
      <c r="F612" s="1594"/>
      <c r="G612" s="1459"/>
      <c r="H612" s="1557"/>
      <c r="J612" s="1548"/>
      <c r="K612" s="1591"/>
    </row>
    <row r="613" spans="1:11" s="1562" customFormat="1" ht="25.5">
      <c r="A613" s="1522"/>
      <c r="B613" s="1522"/>
      <c r="C613" s="1522"/>
      <c r="D613" s="1597" t="s">
        <v>4857</v>
      </c>
      <c r="G613" s="1460"/>
      <c r="H613" s="1561"/>
    </row>
    <row r="614" spans="1:11" s="1541" customFormat="1">
      <c r="A614" s="1518"/>
      <c r="B614" s="1518"/>
      <c r="C614" s="1522" t="s">
        <v>55</v>
      </c>
      <c r="D614" s="1554" t="s">
        <v>4858</v>
      </c>
      <c r="E614" s="1545" t="s">
        <v>2243</v>
      </c>
      <c r="F614" s="1545">
        <v>2</v>
      </c>
      <c r="G614" s="1461"/>
      <c r="H614" s="1557">
        <f>SUM(F614*G614)</f>
        <v>0</v>
      </c>
      <c r="J614" s="1548"/>
      <c r="K614" s="1591"/>
    </row>
    <row r="615" spans="1:11" s="1541" customFormat="1">
      <c r="A615" s="1518"/>
      <c r="B615" s="1518"/>
      <c r="C615" s="1522"/>
      <c r="D615" s="1554"/>
      <c r="E615" s="1545"/>
      <c r="F615" s="1594"/>
      <c r="G615" s="1459"/>
      <c r="H615" s="1557"/>
      <c r="J615" s="1548"/>
      <c r="K615" s="1591"/>
    </row>
    <row r="616" spans="1:11" s="1541" customFormat="1" ht="89.25">
      <c r="A616" s="1518" t="str">
        <f>A610</f>
        <v>H.</v>
      </c>
      <c r="B616" s="1518" t="str">
        <f>B610</f>
        <v>2.</v>
      </c>
      <c r="C616" s="1518">
        <f>C610+1</f>
        <v>58</v>
      </c>
      <c r="D616" s="1554" t="s">
        <v>4859</v>
      </c>
      <c r="E616" s="1545"/>
      <c r="F616" s="1594"/>
      <c r="G616" s="1459"/>
      <c r="H616" s="1557"/>
      <c r="J616" s="1548"/>
      <c r="K616" s="1591"/>
    </row>
    <row r="617" spans="1:11" s="1554" customFormat="1">
      <c r="A617" s="1518"/>
      <c r="B617" s="1518"/>
      <c r="D617" s="1543" t="s">
        <v>4641</v>
      </c>
      <c r="E617" s="1545"/>
      <c r="F617" s="1545"/>
      <c r="G617" s="1457"/>
      <c r="H617" s="1561"/>
    </row>
    <row r="618" spans="1:11" s="1541" customFormat="1">
      <c r="A618" s="1518"/>
      <c r="B618" s="1518"/>
      <c r="C618" s="1522"/>
      <c r="D618" s="1567" t="s">
        <v>4773</v>
      </c>
      <c r="E618" s="1545"/>
      <c r="F618" s="1594"/>
      <c r="G618" s="1459"/>
      <c r="H618" s="1557"/>
      <c r="J618" s="1548"/>
      <c r="K618" s="1591"/>
    </row>
    <row r="619" spans="1:11" s="1541" customFormat="1">
      <c r="A619" s="1518"/>
      <c r="B619" s="1518"/>
      <c r="C619" s="1522"/>
      <c r="D619" s="1567" t="s">
        <v>4774</v>
      </c>
      <c r="E619" s="1545"/>
      <c r="F619" s="1594"/>
      <c r="G619" s="1459"/>
      <c r="H619" s="1557"/>
      <c r="J619" s="1548"/>
      <c r="K619" s="1591"/>
    </row>
    <row r="620" spans="1:11" s="1541" customFormat="1">
      <c r="A620" s="1518"/>
      <c r="B620" s="1518"/>
      <c r="C620" s="1522"/>
      <c r="D620" s="1595" t="s">
        <v>4775</v>
      </c>
      <c r="E620" s="1545"/>
      <c r="F620" s="1594"/>
      <c r="G620" s="1459"/>
      <c r="H620" s="1557"/>
      <c r="J620" s="1548"/>
      <c r="K620" s="1591"/>
    </row>
    <row r="621" spans="1:11" s="1541" customFormat="1">
      <c r="A621" s="1518"/>
      <c r="B621" s="1518"/>
      <c r="C621" s="1522"/>
      <c r="D621" s="1567" t="s">
        <v>4842</v>
      </c>
      <c r="E621" s="1545"/>
      <c r="F621" s="1594"/>
      <c r="G621" s="1459"/>
      <c r="H621" s="1557"/>
      <c r="J621" s="1548"/>
      <c r="K621" s="1591"/>
    </row>
    <row r="622" spans="1:11" s="1541" customFormat="1">
      <c r="A622" s="1518"/>
      <c r="B622" s="1518"/>
      <c r="C622" s="1522"/>
      <c r="D622" s="1567" t="s">
        <v>4843</v>
      </c>
      <c r="E622" s="1545"/>
      <c r="F622" s="1594"/>
      <c r="G622" s="1459"/>
      <c r="H622" s="1557"/>
      <c r="J622" s="1548"/>
      <c r="K622" s="1591"/>
    </row>
    <row r="623" spans="1:11" s="1541" customFormat="1">
      <c r="A623" s="1518"/>
      <c r="B623" s="1518"/>
      <c r="C623" s="1522"/>
      <c r="D623" s="1567" t="s">
        <v>4778</v>
      </c>
      <c r="E623" s="1545"/>
      <c r="F623" s="1594"/>
      <c r="G623" s="1459"/>
      <c r="H623" s="1557"/>
      <c r="J623" s="1548"/>
      <c r="K623" s="1591"/>
    </row>
    <row r="624" spans="1:11" s="1541" customFormat="1">
      <c r="A624" s="1518"/>
      <c r="B624" s="1518"/>
      <c r="C624" s="1522"/>
      <c r="D624" s="1567" t="s">
        <v>4860</v>
      </c>
      <c r="E624" s="1545"/>
      <c r="F624" s="1594"/>
      <c r="G624" s="1459"/>
      <c r="H624" s="1557"/>
      <c r="J624" s="1548"/>
      <c r="K624" s="1591"/>
    </row>
    <row r="625" spans="1:11" s="1541" customFormat="1">
      <c r="A625" s="1518"/>
      <c r="B625" s="1518"/>
      <c r="C625" s="1522"/>
      <c r="D625" s="1567" t="s">
        <v>4845</v>
      </c>
      <c r="E625" s="1545"/>
      <c r="F625" s="1594"/>
      <c r="G625" s="1459"/>
      <c r="H625" s="1557"/>
      <c r="J625" s="1548"/>
      <c r="K625" s="1591"/>
    </row>
    <row r="626" spans="1:11" s="1541" customFormat="1">
      <c r="A626" s="1518"/>
      <c r="B626" s="1518"/>
      <c r="C626" s="1522"/>
      <c r="D626" s="1567" t="s">
        <v>4846</v>
      </c>
      <c r="E626" s="1545"/>
      <c r="F626" s="1594"/>
      <c r="G626" s="1459"/>
      <c r="H626" s="1557"/>
      <c r="J626" s="1548"/>
      <c r="K626" s="1591"/>
    </row>
    <row r="627" spans="1:11" s="1541" customFormat="1">
      <c r="A627" s="1518"/>
      <c r="B627" s="1518"/>
      <c r="C627" s="1522"/>
      <c r="D627" s="1567" t="s">
        <v>4781</v>
      </c>
      <c r="E627" s="1545"/>
      <c r="F627" s="1594"/>
      <c r="G627" s="1459"/>
      <c r="H627" s="1557"/>
      <c r="J627" s="1548"/>
      <c r="K627" s="1591"/>
    </row>
    <row r="628" spans="1:11" s="1541" customFormat="1">
      <c r="A628" s="1518"/>
      <c r="B628" s="1518"/>
      <c r="C628" s="1522"/>
      <c r="D628" s="1567" t="s">
        <v>4861</v>
      </c>
      <c r="E628" s="1545"/>
      <c r="F628" s="1594"/>
      <c r="G628" s="1459"/>
      <c r="H628" s="1557"/>
      <c r="J628" s="1548"/>
      <c r="K628" s="1591"/>
    </row>
    <row r="629" spans="1:11" s="1541" customFormat="1">
      <c r="A629" s="1518"/>
      <c r="B629" s="1518"/>
      <c r="C629" s="1522"/>
      <c r="D629" s="1567" t="s">
        <v>4795</v>
      </c>
      <c r="E629" s="1545"/>
      <c r="F629" s="1594"/>
      <c r="G629" s="1459"/>
      <c r="H629" s="1557"/>
      <c r="J629" s="1548"/>
      <c r="K629" s="1591"/>
    </row>
    <row r="630" spans="1:11" s="1541" customFormat="1">
      <c r="A630" s="1518"/>
      <c r="B630" s="1518"/>
      <c r="C630" s="1522"/>
      <c r="D630" s="1567" t="s">
        <v>4848</v>
      </c>
      <c r="E630" s="1545"/>
      <c r="F630" s="1594"/>
      <c r="G630" s="1459"/>
      <c r="H630" s="1557"/>
      <c r="J630" s="1548"/>
      <c r="K630" s="1591"/>
    </row>
    <row r="631" spans="1:11" s="1541" customFormat="1">
      <c r="A631" s="1518"/>
      <c r="B631" s="1518"/>
      <c r="C631" s="1522"/>
      <c r="D631" s="1567" t="s">
        <v>4849</v>
      </c>
      <c r="E631" s="1545"/>
      <c r="F631" s="1594"/>
      <c r="G631" s="1459"/>
      <c r="H631" s="1557"/>
      <c r="J631" s="1548"/>
      <c r="K631" s="1591"/>
    </row>
    <row r="632" spans="1:11" s="1541" customFormat="1">
      <c r="A632" s="1518"/>
      <c r="B632" s="1518"/>
      <c r="C632" s="1522"/>
      <c r="D632" s="1567" t="s">
        <v>4786</v>
      </c>
      <c r="E632" s="1545"/>
      <c r="F632" s="1594"/>
      <c r="G632" s="1459"/>
      <c r="H632" s="1557"/>
      <c r="J632" s="1548"/>
      <c r="K632" s="1591"/>
    </row>
    <row r="633" spans="1:11" s="1562" customFormat="1">
      <c r="A633" s="1522"/>
      <c r="B633" s="1522"/>
      <c r="C633" s="1522"/>
      <c r="D633" s="1552" t="s">
        <v>254</v>
      </c>
      <c r="G633" s="1460"/>
      <c r="H633" s="1561"/>
    </row>
    <row r="634" spans="1:11" s="1541" customFormat="1">
      <c r="A634" s="1518"/>
      <c r="B634" s="1518"/>
      <c r="C634" s="1522" t="s">
        <v>55</v>
      </c>
      <c r="D634" s="1516" t="s">
        <v>4862</v>
      </c>
      <c r="E634" s="1545" t="s">
        <v>34</v>
      </c>
      <c r="F634" s="1545">
        <v>16</v>
      </c>
      <c r="G634" s="1461"/>
      <c r="H634" s="1557">
        <f>SUM(F634*G634)</f>
        <v>0</v>
      </c>
      <c r="J634" s="1548"/>
      <c r="K634" s="1591"/>
    </row>
    <row r="635" spans="1:11" s="1541" customFormat="1">
      <c r="A635" s="1518"/>
      <c r="B635" s="1518"/>
      <c r="C635" s="1522"/>
      <c r="D635" s="1554"/>
      <c r="E635" s="1545"/>
      <c r="F635" s="1594"/>
      <c r="G635" s="1459"/>
      <c r="H635" s="1557"/>
      <c r="J635" s="1548"/>
      <c r="K635" s="1591"/>
    </row>
    <row r="636" spans="1:11" s="1541" customFormat="1" ht="89.25">
      <c r="A636" s="1518" t="str">
        <f>A616</f>
        <v>H.</v>
      </c>
      <c r="B636" s="1518" t="str">
        <f>B616</f>
        <v>2.</v>
      </c>
      <c r="C636" s="1522">
        <f>C616+1</f>
        <v>59</v>
      </c>
      <c r="D636" s="1554" t="s">
        <v>4863</v>
      </c>
      <c r="E636" s="1545"/>
      <c r="F636" s="1594"/>
      <c r="G636" s="1459"/>
      <c r="H636" s="1557"/>
      <c r="J636" s="1548"/>
      <c r="K636" s="1591"/>
    </row>
    <row r="637" spans="1:11" s="1554" customFormat="1">
      <c r="A637" s="1518"/>
      <c r="B637" s="1518"/>
      <c r="D637" s="1543" t="s">
        <v>4641</v>
      </c>
      <c r="E637" s="1545"/>
      <c r="F637" s="1545"/>
      <c r="G637" s="1457"/>
      <c r="H637" s="1561"/>
    </row>
    <row r="638" spans="1:11" s="1541" customFormat="1">
      <c r="A638" s="1518"/>
      <c r="B638" s="1518"/>
      <c r="C638" s="1522"/>
      <c r="D638" s="1567" t="s">
        <v>4773</v>
      </c>
      <c r="E638" s="1545"/>
      <c r="F638" s="1594"/>
      <c r="G638" s="1459"/>
      <c r="H638" s="1557"/>
      <c r="J638" s="1548"/>
      <c r="K638" s="1591"/>
    </row>
    <row r="639" spans="1:11" s="1541" customFormat="1">
      <c r="A639" s="1518"/>
      <c r="B639" s="1518"/>
      <c r="C639" s="1522"/>
      <c r="D639" s="1567" t="s">
        <v>4774</v>
      </c>
      <c r="E639" s="1545"/>
      <c r="F639" s="1594"/>
      <c r="G639" s="1459"/>
      <c r="H639" s="1557"/>
      <c r="J639" s="1548"/>
      <c r="K639" s="1591"/>
    </row>
    <row r="640" spans="1:11" s="1541" customFormat="1">
      <c r="A640" s="1518"/>
      <c r="B640" s="1518"/>
      <c r="C640" s="1522"/>
      <c r="D640" s="1595" t="s">
        <v>4775</v>
      </c>
      <c r="E640" s="1545"/>
      <c r="F640" s="1594"/>
      <c r="G640" s="1459"/>
      <c r="H640" s="1557"/>
      <c r="J640" s="1548"/>
      <c r="K640" s="1591"/>
    </row>
    <row r="641" spans="1:11" s="1541" customFormat="1">
      <c r="A641" s="1518"/>
      <c r="B641" s="1518"/>
      <c r="C641" s="1522"/>
      <c r="D641" s="1567" t="s">
        <v>4842</v>
      </c>
      <c r="E641" s="1545"/>
      <c r="F641" s="1594"/>
      <c r="G641" s="1459"/>
      <c r="H641" s="1557"/>
      <c r="J641" s="1548"/>
      <c r="K641" s="1591"/>
    </row>
    <row r="642" spans="1:11" s="1541" customFormat="1">
      <c r="A642" s="1518"/>
      <c r="B642" s="1518"/>
      <c r="C642" s="1522"/>
      <c r="D642" s="1567" t="s">
        <v>4843</v>
      </c>
      <c r="E642" s="1545"/>
      <c r="F642" s="1594"/>
      <c r="G642" s="1459"/>
      <c r="H642" s="1557"/>
      <c r="J642" s="1548"/>
      <c r="K642" s="1591"/>
    </row>
    <row r="643" spans="1:11" s="1541" customFormat="1">
      <c r="A643" s="1518"/>
      <c r="B643" s="1518"/>
      <c r="C643" s="1522"/>
      <c r="D643" s="1567" t="s">
        <v>4778</v>
      </c>
      <c r="E643" s="1545"/>
      <c r="F643" s="1594"/>
      <c r="G643" s="1459"/>
      <c r="H643" s="1557"/>
      <c r="J643" s="1548"/>
      <c r="K643" s="1591"/>
    </row>
    <row r="644" spans="1:11" s="1541" customFormat="1">
      <c r="A644" s="1518"/>
      <c r="B644" s="1518"/>
      <c r="C644" s="1522"/>
      <c r="D644" s="1567" t="s">
        <v>4860</v>
      </c>
      <c r="E644" s="1545"/>
      <c r="F644" s="1594"/>
      <c r="G644" s="1459"/>
      <c r="H644" s="1557"/>
      <c r="J644" s="1548"/>
      <c r="K644" s="1591"/>
    </row>
    <row r="645" spans="1:11" s="1541" customFormat="1">
      <c r="A645" s="1518"/>
      <c r="B645" s="1518"/>
      <c r="C645" s="1522"/>
      <c r="D645" s="1567" t="s">
        <v>4845</v>
      </c>
      <c r="E645" s="1545"/>
      <c r="F645" s="1594"/>
      <c r="G645" s="1459"/>
      <c r="H645" s="1557"/>
      <c r="J645" s="1548"/>
      <c r="K645" s="1591"/>
    </row>
    <row r="646" spans="1:11" s="1541" customFormat="1">
      <c r="A646" s="1518"/>
      <c r="B646" s="1518"/>
      <c r="C646" s="1522"/>
      <c r="D646" s="1567" t="s">
        <v>4864</v>
      </c>
      <c r="E646" s="1545"/>
      <c r="F646" s="1594"/>
      <c r="G646" s="1459"/>
      <c r="H646" s="1557"/>
      <c r="J646" s="1548"/>
      <c r="K646" s="1591"/>
    </row>
    <row r="647" spans="1:11" s="1541" customFormat="1">
      <c r="A647" s="1518"/>
      <c r="B647" s="1518"/>
      <c r="C647" s="1522"/>
      <c r="D647" s="1567" t="s">
        <v>4781</v>
      </c>
      <c r="E647" s="1545"/>
      <c r="F647" s="1594"/>
      <c r="G647" s="1459"/>
      <c r="H647" s="1557"/>
      <c r="J647" s="1548"/>
      <c r="K647" s="1591"/>
    </row>
    <row r="648" spans="1:11" s="1541" customFormat="1">
      <c r="A648" s="1518"/>
      <c r="B648" s="1518"/>
      <c r="C648" s="1522"/>
      <c r="D648" s="1567" t="s">
        <v>4861</v>
      </c>
      <c r="E648" s="1545"/>
      <c r="F648" s="1594"/>
      <c r="G648" s="1459"/>
      <c r="H648" s="1557"/>
      <c r="J648" s="1548"/>
      <c r="K648" s="1591"/>
    </row>
    <row r="649" spans="1:11" s="1541" customFormat="1">
      <c r="A649" s="1518"/>
      <c r="B649" s="1518"/>
      <c r="C649" s="1522"/>
      <c r="D649" s="1567" t="s">
        <v>4795</v>
      </c>
      <c r="E649" s="1545"/>
      <c r="F649" s="1594"/>
      <c r="G649" s="1459"/>
      <c r="H649" s="1557"/>
      <c r="J649" s="1548"/>
      <c r="K649" s="1591"/>
    </row>
    <row r="650" spans="1:11" s="1541" customFormat="1">
      <c r="A650" s="1518"/>
      <c r="B650" s="1518"/>
      <c r="C650" s="1522"/>
      <c r="D650" s="1567" t="s">
        <v>4848</v>
      </c>
      <c r="E650" s="1545"/>
      <c r="F650" s="1594"/>
      <c r="G650" s="1459"/>
      <c r="H650" s="1557"/>
      <c r="J650" s="1548"/>
      <c r="K650" s="1591"/>
    </row>
    <row r="651" spans="1:11" s="1541" customFormat="1">
      <c r="A651" s="1518"/>
      <c r="B651" s="1518"/>
      <c r="C651" s="1522"/>
      <c r="D651" s="1567" t="s">
        <v>4849</v>
      </c>
      <c r="E651" s="1545"/>
      <c r="F651" s="1594"/>
      <c r="G651" s="1459"/>
      <c r="H651" s="1557"/>
      <c r="J651" s="1548"/>
      <c r="K651" s="1591"/>
    </row>
    <row r="652" spans="1:11" s="1541" customFormat="1">
      <c r="A652" s="1518"/>
      <c r="B652" s="1518"/>
      <c r="C652" s="1522"/>
      <c r="D652" s="1567" t="s">
        <v>4786</v>
      </c>
      <c r="E652" s="1545"/>
      <c r="F652" s="1594"/>
      <c r="G652" s="1459"/>
      <c r="H652" s="1557"/>
      <c r="J652" s="1548"/>
      <c r="K652" s="1591"/>
    </row>
    <row r="653" spans="1:11" s="1562" customFormat="1">
      <c r="A653" s="1522"/>
      <c r="B653" s="1522"/>
      <c r="C653" s="1522"/>
      <c r="D653" s="1552" t="s">
        <v>254</v>
      </c>
      <c r="G653" s="1460"/>
      <c r="H653" s="1561"/>
    </row>
    <row r="654" spans="1:11" s="1541" customFormat="1">
      <c r="A654" s="1518"/>
      <c r="B654" s="1518"/>
      <c r="C654" s="1522" t="s">
        <v>55</v>
      </c>
      <c r="D654" s="1516" t="s">
        <v>4865</v>
      </c>
      <c r="E654" s="1545" t="s">
        <v>34</v>
      </c>
      <c r="F654" s="1545">
        <v>5</v>
      </c>
      <c r="G654" s="1461"/>
      <c r="H654" s="1557">
        <f>SUM(F654*G654)</f>
        <v>0</v>
      </c>
      <c r="J654" s="1548"/>
      <c r="K654" s="1591"/>
    </row>
    <row r="655" spans="1:11" s="1541" customFormat="1">
      <c r="A655" s="1518"/>
      <c r="B655" s="1518"/>
      <c r="C655" s="1522"/>
      <c r="D655" s="1554"/>
      <c r="E655" s="1545"/>
      <c r="F655" s="1594"/>
      <c r="G655" s="1459"/>
      <c r="H655" s="1557"/>
      <c r="J655" s="1548"/>
      <c r="K655" s="1591"/>
    </row>
    <row r="656" spans="1:11" s="1541" customFormat="1" ht="25.5">
      <c r="A656" s="1518" t="str">
        <f>A636</f>
        <v>H.</v>
      </c>
      <c r="B656" s="1518" t="str">
        <f>B636</f>
        <v>2.</v>
      </c>
      <c r="C656" s="1522">
        <f>C636+1</f>
        <v>60</v>
      </c>
      <c r="D656" s="1554" t="s">
        <v>4866</v>
      </c>
      <c r="E656" s="1545"/>
      <c r="F656" s="1594"/>
      <c r="G656" s="1459"/>
      <c r="H656" s="1557"/>
      <c r="J656" s="1548"/>
      <c r="K656" s="1591"/>
    </row>
    <row r="657" spans="1:11" s="1554" customFormat="1">
      <c r="A657" s="1518"/>
      <c r="B657" s="1518"/>
      <c r="D657" s="1543" t="s">
        <v>4641</v>
      </c>
      <c r="E657" s="1545"/>
      <c r="F657" s="1545"/>
      <c r="G657" s="1457"/>
      <c r="H657" s="1561"/>
    </row>
    <row r="658" spans="1:11" s="1541" customFormat="1">
      <c r="A658" s="1518"/>
      <c r="B658" s="1518"/>
      <c r="C658" s="1522"/>
      <c r="D658" s="1597" t="s">
        <v>4831</v>
      </c>
      <c r="E658" s="1545"/>
      <c r="F658" s="1594"/>
      <c r="G658" s="1459"/>
      <c r="H658" s="1557"/>
      <c r="J658" s="1548"/>
      <c r="K658" s="1591"/>
    </row>
    <row r="659" spans="1:11" s="1562" customFormat="1" ht="25.5">
      <c r="A659" s="1522"/>
      <c r="B659" s="1522"/>
      <c r="C659" s="1522"/>
      <c r="D659" s="1597" t="s">
        <v>4857</v>
      </c>
      <c r="G659" s="1460"/>
      <c r="H659" s="1561"/>
    </row>
    <row r="660" spans="1:11" s="1541" customFormat="1">
      <c r="A660" s="1518"/>
      <c r="B660" s="1518"/>
      <c r="C660" s="1522" t="s">
        <v>55</v>
      </c>
      <c r="D660" s="1554" t="s">
        <v>4867</v>
      </c>
      <c r="E660" s="1545" t="s">
        <v>2243</v>
      </c>
      <c r="F660" s="1545">
        <v>1</v>
      </c>
      <c r="G660" s="1461"/>
      <c r="H660" s="1557">
        <f>SUM(F660*G660)</f>
        <v>0</v>
      </c>
      <c r="J660" s="1548"/>
      <c r="K660" s="1591"/>
    </row>
    <row r="661" spans="1:11" s="1541" customFormat="1">
      <c r="A661" s="1518"/>
      <c r="B661" s="1518"/>
      <c r="C661" s="1522"/>
      <c r="D661" s="1554"/>
      <c r="E661" s="1545"/>
      <c r="F661" s="1594"/>
      <c r="G661" s="1459"/>
      <c r="H661" s="1557"/>
      <c r="J661" s="1548"/>
      <c r="K661" s="1591"/>
    </row>
    <row r="662" spans="1:11" s="1541" customFormat="1" ht="89.25">
      <c r="A662" s="1518" t="str">
        <f>A656</f>
        <v>H.</v>
      </c>
      <c r="B662" s="1518" t="str">
        <f t="shared" ref="B662" si="16">B656</f>
        <v>2.</v>
      </c>
      <c r="C662" s="1518">
        <f>C656+1</f>
        <v>61</v>
      </c>
      <c r="D662" s="1554" t="s">
        <v>4868</v>
      </c>
      <c r="E662" s="1545"/>
      <c r="F662" s="1594"/>
      <c r="G662" s="1459"/>
      <c r="H662" s="1557"/>
      <c r="J662" s="1548"/>
      <c r="K662" s="1591"/>
    </row>
    <row r="663" spans="1:11" s="1554" customFormat="1">
      <c r="A663" s="1518"/>
      <c r="B663" s="1518"/>
      <c r="D663" s="1543" t="s">
        <v>4641</v>
      </c>
      <c r="E663" s="1545"/>
      <c r="F663" s="1545"/>
      <c r="G663" s="1457"/>
      <c r="H663" s="1561"/>
    </row>
    <row r="664" spans="1:11" s="1541" customFormat="1">
      <c r="A664" s="1518"/>
      <c r="B664" s="1518"/>
      <c r="C664" s="1522"/>
      <c r="D664" s="1567" t="s">
        <v>4773</v>
      </c>
      <c r="E664" s="1545"/>
      <c r="F664" s="1594"/>
      <c r="G664" s="1459"/>
      <c r="H664" s="1557"/>
      <c r="J664" s="1548"/>
      <c r="K664" s="1591"/>
    </row>
    <row r="665" spans="1:11" s="1541" customFormat="1">
      <c r="A665" s="1518"/>
      <c r="B665" s="1518"/>
      <c r="C665" s="1522"/>
      <c r="D665" s="1567" t="s">
        <v>4774</v>
      </c>
      <c r="E665" s="1545"/>
      <c r="F665" s="1594"/>
      <c r="G665" s="1459"/>
      <c r="H665" s="1557"/>
      <c r="J665" s="1548"/>
      <c r="K665" s="1591"/>
    </row>
    <row r="666" spans="1:11" s="1541" customFormat="1">
      <c r="A666" s="1518"/>
      <c r="B666" s="1518"/>
      <c r="C666" s="1522"/>
      <c r="D666" s="1595" t="s">
        <v>4775</v>
      </c>
      <c r="E666" s="1545"/>
      <c r="F666" s="1594"/>
      <c r="G666" s="1459"/>
      <c r="H666" s="1557"/>
      <c r="J666" s="1548"/>
      <c r="K666" s="1591"/>
    </row>
    <row r="667" spans="1:11" s="1541" customFormat="1">
      <c r="A667" s="1518"/>
      <c r="B667" s="1518"/>
      <c r="C667" s="1522"/>
      <c r="D667" s="1567" t="s">
        <v>4842</v>
      </c>
      <c r="E667" s="1545"/>
      <c r="F667" s="1594"/>
      <c r="G667" s="1459"/>
      <c r="H667" s="1557"/>
      <c r="J667" s="1548"/>
      <c r="K667" s="1591"/>
    </row>
    <row r="668" spans="1:11" s="1541" customFormat="1">
      <c r="A668" s="1518"/>
      <c r="B668" s="1518"/>
      <c r="C668" s="1522"/>
      <c r="D668" s="1567" t="s">
        <v>4843</v>
      </c>
      <c r="E668" s="1545"/>
      <c r="F668" s="1594"/>
      <c r="G668" s="1459"/>
      <c r="H668" s="1557"/>
      <c r="J668" s="1548"/>
      <c r="K668" s="1591"/>
    </row>
    <row r="669" spans="1:11" s="1541" customFormat="1">
      <c r="A669" s="1518"/>
      <c r="B669" s="1518"/>
      <c r="C669" s="1522"/>
      <c r="D669" s="1567" t="s">
        <v>4778</v>
      </c>
      <c r="E669" s="1545"/>
      <c r="F669" s="1594"/>
      <c r="G669" s="1459"/>
      <c r="H669" s="1557"/>
      <c r="J669" s="1548"/>
      <c r="K669" s="1591"/>
    </row>
    <row r="670" spans="1:11" s="1541" customFormat="1">
      <c r="A670" s="1518"/>
      <c r="B670" s="1518"/>
      <c r="C670" s="1522"/>
      <c r="D670" s="1567" t="s">
        <v>4860</v>
      </c>
      <c r="E670" s="1545"/>
      <c r="F670" s="1594"/>
      <c r="G670" s="1459"/>
      <c r="H670" s="1557"/>
      <c r="J670" s="1548"/>
      <c r="K670" s="1591"/>
    </row>
    <row r="671" spans="1:11" s="1541" customFormat="1">
      <c r="A671" s="1518"/>
      <c r="B671" s="1518"/>
      <c r="C671" s="1522"/>
      <c r="D671" s="1567" t="s">
        <v>4845</v>
      </c>
      <c r="E671" s="1545"/>
      <c r="F671" s="1594"/>
      <c r="G671" s="1459"/>
      <c r="H671" s="1557"/>
      <c r="J671" s="1548"/>
      <c r="K671" s="1591"/>
    </row>
    <row r="672" spans="1:11" s="1541" customFormat="1">
      <c r="A672" s="1518"/>
      <c r="B672" s="1518"/>
      <c r="C672" s="1522"/>
      <c r="D672" s="1567" t="s">
        <v>4826</v>
      </c>
      <c r="E672" s="1545"/>
      <c r="F672" s="1594"/>
      <c r="G672" s="1459"/>
      <c r="H672" s="1557"/>
      <c r="J672" s="1548"/>
      <c r="K672" s="1591"/>
    </row>
    <row r="673" spans="1:11" s="1541" customFormat="1">
      <c r="A673" s="1518"/>
      <c r="B673" s="1518"/>
      <c r="C673" s="1522"/>
      <c r="D673" s="1567" t="s">
        <v>4781</v>
      </c>
      <c r="E673" s="1545"/>
      <c r="F673" s="1594"/>
      <c r="G673" s="1459"/>
      <c r="H673" s="1557"/>
      <c r="J673" s="1548"/>
      <c r="K673" s="1591"/>
    </row>
    <row r="674" spans="1:11" s="1541" customFormat="1">
      <c r="A674" s="1518"/>
      <c r="B674" s="1518"/>
      <c r="C674" s="1522"/>
      <c r="D674" s="1567" t="s">
        <v>4861</v>
      </c>
      <c r="E674" s="1545"/>
      <c r="F674" s="1594"/>
      <c r="G674" s="1459"/>
      <c r="H674" s="1557"/>
      <c r="J674" s="1548"/>
      <c r="K674" s="1591"/>
    </row>
    <row r="675" spans="1:11" s="1541" customFormat="1">
      <c r="A675" s="1518"/>
      <c r="B675" s="1518"/>
      <c r="C675" s="1522"/>
      <c r="D675" s="1567" t="s">
        <v>4795</v>
      </c>
      <c r="E675" s="1545"/>
      <c r="F675" s="1594"/>
      <c r="G675" s="1459"/>
      <c r="H675" s="1557"/>
      <c r="J675" s="1548"/>
      <c r="K675" s="1591"/>
    </row>
    <row r="676" spans="1:11" s="1541" customFormat="1">
      <c r="A676" s="1518"/>
      <c r="B676" s="1518"/>
      <c r="C676" s="1522"/>
      <c r="D676" s="1567" t="s">
        <v>4848</v>
      </c>
      <c r="E676" s="1545"/>
      <c r="F676" s="1594"/>
      <c r="G676" s="1459"/>
      <c r="H676" s="1557"/>
      <c r="J676" s="1548"/>
      <c r="K676" s="1591"/>
    </row>
    <row r="677" spans="1:11" s="1541" customFormat="1">
      <c r="A677" s="1518"/>
      <c r="B677" s="1518"/>
      <c r="C677" s="1522"/>
      <c r="D677" s="1567" t="s">
        <v>4849</v>
      </c>
      <c r="E677" s="1545"/>
      <c r="F677" s="1594"/>
      <c r="G677" s="1459"/>
      <c r="H677" s="1557"/>
      <c r="J677" s="1548"/>
      <c r="K677" s="1591"/>
    </row>
    <row r="678" spans="1:11" s="1541" customFormat="1">
      <c r="A678" s="1518"/>
      <c r="B678" s="1518"/>
      <c r="C678" s="1522"/>
      <c r="D678" s="1567" t="s">
        <v>4786</v>
      </c>
      <c r="E678" s="1545"/>
      <c r="F678" s="1594"/>
      <c r="G678" s="1459"/>
      <c r="H678" s="1557"/>
      <c r="J678" s="1548"/>
      <c r="K678" s="1591"/>
    </row>
    <row r="679" spans="1:11" s="1562" customFormat="1">
      <c r="A679" s="1522"/>
      <c r="B679" s="1522"/>
      <c r="C679" s="1522"/>
      <c r="D679" s="1552" t="s">
        <v>254</v>
      </c>
      <c r="G679" s="1460"/>
      <c r="H679" s="1561"/>
    </row>
    <row r="680" spans="1:11" s="1541" customFormat="1">
      <c r="A680" s="1518"/>
      <c r="B680" s="1518"/>
      <c r="C680" s="1522" t="s">
        <v>55</v>
      </c>
      <c r="D680" s="1516" t="s">
        <v>4869</v>
      </c>
      <c r="E680" s="1545" t="s">
        <v>34</v>
      </c>
      <c r="F680" s="1545">
        <v>16</v>
      </c>
      <c r="G680" s="1461"/>
      <c r="H680" s="1557">
        <f>SUM(F680*G680)</f>
        <v>0</v>
      </c>
      <c r="J680" s="1548"/>
      <c r="K680" s="1591"/>
    </row>
    <row r="681" spans="1:11" s="1541" customFormat="1">
      <c r="A681" s="1518"/>
      <c r="B681" s="1518"/>
      <c r="C681" s="1522"/>
      <c r="D681" s="1554"/>
      <c r="E681" s="1545"/>
      <c r="F681" s="1594"/>
      <c r="G681" s="1459"/>
      <c r="H681" s="1557"/>
      <c r="J681" s="1548"/>
      <c r="K681" s="1591"/>
    </row>
    <row r="682" spans="1:11" s="1541" customFormat="1" ht="89.25">
      <c r="A682" s="1518" t="str">
        <f>A662</f>
        <v>H.</v>
      </c>
      <c r="B682" s="1518" t="str">
        <f t="shared" ref="B682" si="17">B662</f>
        <v>2.</v>
      </c>
      <c r="C682" s="1518">
        <f>C662+1</f>
        <v>62</v>
      </c>
      <c r="D682" s="1554" t="s">
        <v>4870</v>
      </c>
      <c r="E682" s="1545"/>
      <c r="F682" s="1594"/>
      <c r="G682" s="1459"/>
      <c r="H682" s="1557"/>
      <c r="J682" s="1548"/>
      <c r="K682" s="1591"/>
    </row>
    <row r="683" spans="1:11" s="1554" customFormat="1">
      <c r="A683" s="1518"/>
      <c r="B683" s="1518"/>
      <c r="D683" s="1543" t="s">
        <v>4641</v>
      </c>
      <c r="E683" s="1545"/>
      <c r="F683" s="1545"/>
      <c r="G683" s="1457"/>
      <c r="H683" s="1561"/>
    </row>
    <row r="684" spans="1:11" s="1541" customFormat="1">
      <c r="A684" s="1518"/>
      <c r="B684" s="1518"/>
      <c r="C684" s="1522"/>
      <c r="D684" s="1567" t="s">
        <v>4773</v>
      </c>
      <c r="E684" s="1545"/>
      <c r="F684" s="1594"/>
      <c r="G684" s="1459"/>
      <c r="H684" s="1557"/>
      <c r="J684" s="1548"/>
      <c r="K684" s="1591"/>
    </row>
    <row r="685" spans="1:11" s="1541" customFormat="1">
      <c r="A685" s="1518"/>
      <c r="B685" s="1518"/>
      <c r="C685" s="1522"/>
      <c r="D685" s="1567" t="s">
        <v>4774</v>
      </c>
      <c r="E685" s="1545"/>
      <c r="F685" s="1594"/>
      <c r="G685" s="1459"/>
      <c r="H685" s="1557"/>
      <c r="J685" s="1548"/>
      <c r="K685" s="1591"/>
    </row>
    <row r="686" spans="1:11" s="1541" customFormat="1">
      <c r="A686" s="1518"/>
      <c r="B686" s="1518"/>
      <c r="C686" s="1522"/>
      <c r="D686" s="1595" t="s">
        <v>4775</v>
      </c>
      <c r="E686" s="1545"/>
      <c r="F686" s="1594"/>
      <c r="G686" s="1459"/>
      <c r="H686" s="1557"/>
      <c r="J686" s="1548"/>
      <c r="K686" s="1591"/>
    </row>
    <row r="687" spans="1:11" s="1541" customFormat="1">
      <c r="A687" s="1518"/>
      <c r="B687" s="1518"/>
      <c r="C687" s="1522"/>
      <c r="D687" s="1567" t="s">
        <v>4842</v>
      </c>
      <c r="E687" s="1545"/>
      <c r="F687" s="1594"/>
      <c r="G687" s="1459"/>
      <c r="H687" s="1557"/>
      <c r="J687" s="1548"/>
      <c r="K687" s="1591"/>
    </row>
    <row r="688" spans="1:11" s="1541" customFormat="1">
      <c r="A688" s="1518"/>
      <c r="B688" s="1518"/>
      <c r="C688" s="1522"/>
      <c r="D688" s="1567" t="s">
        <v>4843</v>
      </c>
      <c r="E688" s="1545"/>
      <c r="F688" s="1594"/>
      <c r="G688" s="1459"/>
      <c r="H688" s="1557"/>
      <c r="J688" s="1548"/>
      <c r="K688" s="1591"/>
    </row>
    <row r="689" spans="1:11" s="1541" customFormat="1">
      <c r="A689" s="1518"/>
      <c r="B689" s="1518"/>
      <c r="C689" s="1522"/>
      <c r="D689" s="1567" t="s">
        <v>4778</v>
      </c>
      <c r="E689" s="1545"/>
      <c r="F689" s="1594"/>
      <c r="G689" s="1459"/>
      <c r="H689" s="1557"/>
      <c r="J689" s="1548"/>
      <c r="K689" s="1591"/>
    </row>
    <row r="690" spans="1:11" s="1541" customFormat="1">
      <c r="A690" s="1518"/>
      <c r="B690" s="1518"/>
      <c r="C690" s="1522"/>
      <c r="D690" s="1567" t="s">
        <v>4860</v>
      </c>
      <c r="E690" s="1545"/>
      <c r="F690" s="1594"/>
      <c r="G690" s="1459"/>
      <c r="H690" s="1557"/>
      <c r="J690" s="1548"/>
      <c r="K690" s="1591"/>
    </row>
    <row r="691" spans="1:11" s="1541" customFormat="1">
      <c r="A691" s="1518"/>
      <c r="B691" s="1518"/>
      <c r="C691" s="1522"/>
      <c r="D691" s="1567" t="s">
        <v>4845</v>
      </c>
      <c r="E691" s="1545"/>
      <c r="F691" s="1594"/>
      <c r="G691" s="1459"/>
      <c r="H691" s="1557"/>
      <c r="J691" s="1548"/>
      <c r="K691" s="1591"/>
    </row>
    <row r="692" spans="1:11" s="1541" customFormat="1">
      <c r="A692" s="1518"/>
      <c r="B692" s="1518"/>
      <c r="C692" s="1522"/>
      <c r="D692" s="1567" t="s">
        <v>4854</v>
      </c>
      <c r="E692" s="1545"/>
      <c r="F692" s="1594"/>
      <c r="G692" s="1459"/>
      <c r="H692" s="1557"/>
      <c r="J692" s="1548"/>
      <c r="K692" s="1591"/>
    </row>
    <row r="693" spans="1:11" s="1541" customFormat="1">
      <c r="A693" s="1518"/>
      <c r="B693" s="1518"/>
      <c r="C693" s="1522"/>
      <c r="D693" s="1567" t="s">
        <v>4781</v>
      </c>
      <c r="E693" s="1545"/>
      <c r="F693" s="1594"/>
      <c r="G693" s="1459"/>
      <c r="H693" s="1557"/>
      <c r="J693" s="1548"/>
      <c r="K693" s="1591"/>
    </row>
    <row r="694" spans="1:11" s="1541" customFormat="1">
      <c r="A694" s="1518"/>
      <c r="B694" s="1518"/>
      <c r="C694" s="1522"/>
      <c r="D694" s="1567" t="s">
        <v>4861</v>
      </c>
      <c r="E694" s="1545"/>
      <c r="F694" s="1594"/>
      <c r="G694" s="1459"/>
      <c r="H694" s="1557"/>
      <c r="J694" s="1548"/>
      <c r="K694" s="1591"/>
    </row>
    <row r="695" spans="1:11" s="1541" customFormat="1">
      <c r="A695" s="1518"/>
      <c r="B695" s="1518"/>
      <c r="C695" s="1522"/>
      <c r="D695" s="1567" t="s">
        <v>4795</v>
      </c>
      <c r="E695" s="1545"/>
      <c r="F695" s="1594"/>
      <c r="G695" s="1459"/>
      <c r="H695" s="1557"/>
      <c r="J695" s="1548"/>
      <c r="K695" s="1591"/>
    </row>
    <row r="696" spans="1:11" s="1541" customFormat="1">
      <c r="A696" s="1518"/>
      <c r="B696" s="1518"/>
      <c r="C696" s="1522"/>
      <c r="D696" s="1567" t="s">
        <v>4848</v>
      </c>
      <c r="E696" s="1545"/>
      <c r="F696" s="1594"/>
      <c r="G696" s="1459"/>
      <c r="H696" s="1557"/>
      <c r="J696" s="1548"/>
      <c r="K696" s="1591"/>
    </row>
    <row r="697" spans="1:11" s="1541" customFormat="1">
      <c r="A697" s="1518"/>
      <c r="B697" s="1518"/>
      <c r="C697" s="1522"/>
      <c r="D697" s="1567" t="s">
        <v>4849</v>
      </c>
      <c r="E697" s="1545"/>
      <c r="F697" s="1594"/>
      <c r="G697" s="1459"/>
      <c r="H697" s="1557"/>
      <c r="J697" s="1548"/>
      <c r="K697" s="1591"/>
    </row>
    <row r="698" spans="1:11" s="1541" customFormat="1">
      <c r="A698" s="1518"/>
      <c r="B698" s="1518"/>
      <c r="C698" s="1522"/>
      <c r="D698" s="1567" t="s">
        <v>4786</v>
      </c>
      <c r="E698" s="1545"/>
      <c r="F698" s="1594"/>
      <c r="G698" s="1459"/>
      <c r="H698" s="1557"/>
      <c r="J698" s="1548"/>
      <c r="K698" s="1591"/>
    </row>
    <row r="699" spans="1:11" s="1562" customFormat="1">
      <c r="A699" s="1522"/>
      <c r="B699" s="1522"/>
      <c r="C699" s="1522"/>
      <c r="D699" s="1552" t="s">
        <v>254</v>
      </c>
      <c r="G699" s="1460"/>
      <c r="H699" s="1561"/>
    </row>
    <row r="700" spans="1:11" s="1541" customFormat="1">
      <c r="A700" s="1518"/>
      <c r="B700" s="1518"/>
      <c r="C700" s="1522" t="s">
        <v>55</v>
      </c>
      <c r="D700" s="1516" t="s">
        <v>4871</v>
      </c>
      <c r="E700" s="1545" t="s">
        <v>34</v>
      </c>
      <c r="F700" s="1545">
        <v>1</v>
      </c>
      <c r="G700" s="1461"/>
      <c r="H700" s="1557">
        <f>SUM(F700*G700)</f>
        <v>0</v>
      </c>
      <c r="J700" s="1548"/>
      <c r="K700" s="1591"/>
    </row>
    <row r="701" spans="1:11" s="1541" customFormat="1">
      <c r="A701" s="1518"/>
      <c r="B701" s="1518"/>
      <c r="C701" s="1522"/>
      <c r="D701" s="1554"/>
      <c r="E701" s="1545"/>
      <c r="F701" s="1594"/>
      <c r="G701" s="1459"/>
      <c r="H701" s="1557"/>
      <c r="J701" s="1548"/>
      <c r="K701" s="1591"/>
    </row>
    <row r="702" spans="1:11" s="1541" customFormat="1" ht="25.5">
      <c r="A702" s="1518" t="str">
        <f>A682</f>
        <v>H.</v>
      </c>
      <c r="B702" s="1518" t="str">
        <f>B682</f>
        <v>2.</v>
      </c>
      <c r="C702" s="1522">
        <f>C682+1</f>
        <v>63</v>
      </c>
      <c r="D702" s="1554" t="s">
        <v>4872</v>
      </c>
      <c r="E702" s="1545"/>
      <c r="F702" s="1594"/>
      <c r="G702" s="1459"/>
      <c r="H702" s="1557"/>
      <c r="J702" s="1548"/>
      <c r="K702" s="1591"/>
    </row>
    <row r="703" spans="1:11" s="1554" customFormat="1">
      <c r="A703" s="1518"/>
      <c r="B703" s="1518"/>
      <c r="D703" s="1543" t="s">
        <v>4641</v>
      </c>
      <c r="E703" s="1545"/>
      <c r="F703" s="1545"/>
      <c r="G703" s="1457"/>
      <c r="H703" s="1561"/>
    </row>
    <row r="704" spans="1:11" s="1562" customFormat="1" ht="25.5">
      <c r="A704" s="1522"/>
      <c r="B704" s="1522"/>
      <c r="C704" s="1522"/>
      <c r="D704" s="1597" t="s">
        <v>4873</v>
      </c>
      <c r="G704" s="1460"/>
      <c r="H704" s="1561"/>
    </row>
    <row r="705" spans="1:11" s="1541" customFormat="1">
      <c r="A705" s="1518"/>
      <c r="B705" s="1518"/>
      <c r="C705" s="1522" t="s">
        <v>55</v>
      </c>
      <c r="D705" s="1554" t="s">
        <v>4874</v>
      </c>
      <c r="E705" s="1545" t="s">
        <v>2243</v>
      </c>
      <c r="F705" s="1545">
        <v>1</v>
      </c>
      <c r="G705" s="1461"/>
      <c r="H705" s="1557">
        <f>SUM(F705*G705)</f>
        <v>0</v>
      </c>
      <c r="J705" s="1548"/>
      <c r="K705" s="1591"/>
    </row>
    <row r="706" spans="1:11" s="1541" customFormat="1">
      <c r="A706" s="1518"/>
      <c r="B706" s="1518"/>
      <c r="C706" s="1522"/>
      <c r="D706" s="1516"/>
      <c r="E706" s="1545"/>
      <c r="F706" s="1545"/>
      <c r="G706" s="1459"/>
      <c r="H706" s="1557"/>
      <c r="J706" s="1548"/>
      <c r="K706" s="1591"/>
    </row>
    <row r="707" spans="1:11" s="1541" customFormat="1">
      <c r="A707" s="1518"/>
      <c r="B707" s="1518"/>
      <c r="C707" s="1522"/>
      <c r="D707" s="1552"/>
      <c r="E707" s="1545"/>
      <c r="F707" s="1545"/>
      <c r="G707" s="1459"/>
      <c r="H707" s="1557"/>
      <c r="J707" s="1548"/>
      <c r="K707" s="1591"/>
    </row>
    <row r="708" spans="1:11" s="1541" customFormat="1">
      <c r="A708" s="1518"/>
      <c r="B708" s="1518"/>
      <c r="C708" s="1522" t="s">
        <v>4635</v>
      </c>
      <c r="D708" s="1523" t="s">
        <v>4875</v>
      </c>
      <c r="E708" s="1545"/>
      <c r="F708" s="1545"/>
      <c r="G708" s="1459"/>
      <c r="H708" s="1557"/>
      <c r="J708" s="1548"/>
      <c r="K708" s="1591"/>
    </row>
    <row r="709" spans="1:11" s="1541" customFormat="1">
      <c r="A709" s="1518"/>
      <c r="B709" s="1518"/>
      <c r="C709" s="1522"/>
      <c r="D709" s="1523"/>
      <c r="E709" s="1545"/>
      <c r="F709" s="1545"/>
      <c r="G709" s="1459"/>
      <c r="H709" s="1557"/>
      <c r="J709" s="1548"/>
      <c r="K709" s="1591"/>
    </row>
    <row r="710" spans="1:11" s="1541" customFormat="1" ht="165.75">
      <c r="A710" s="1518"/>
      <c r="B710" s="1518"/>
      <c r="C710" s="1522"/>
      <c r="D710" s="1523" t="s">
        <v>5531</v>
      </c>
      <c r="E710" s="1545"/>
      <c r="F710" s="1545"/>
      <c r="G710" s="1459"/>
      <c r="H710" s="1557"/>
      <c r="J710" s="1548"/>
      <c r="K710" s="1591"/>
    </row>
    <row r="711" spans="1:11" s="1541" customFormat="1">
      <c r="A711" s="1518"/>
      <c r="B711" s="1518"/>
      <c r="C711" s="1522"/>
      <c r="D711" s="1523"/>
      <c r="E711" s="1545"/>
      <c r="F711" s="1545"/>
      <c r="G711" s="1459"/>
      <c r="H711" s="1557"/>
      <c r="J711" s="1548"/>
      <c r="K711" s="1591"/>
    </row>
    <row r="712" spans="1:11" s="1541" customFormat="1" ht="51">
      <c r="A712" s="1518" t="s">
        <v>5492</v>
      </c>
      <c r="B712" s="1518" t="s">
        <v>978</v>
      </c>
      <c r="C712" s="1522" t="s">
        <v>5549</v>
      </c>
      <c r="D712" s="1552" t="s">
        <v>5532</v>
      </c>
      <c r="E712" s="1545"/>
      <c r="F712" s="1545"/>
      <c r="G712" s="1459"/>
      <c r="H712" s="1557"/>
      <c r="J712" s="1548"/>
      <c r="K712" s="1591"/>
    </row>
    <row r="713" spans="1:11" s="1541" customFormat="1">
      <c r="A713" s="1518"/>
      <c r="B713" s="1518"/>
      <c r="C713" s="1522"/>
      <c r="D713" s="1552"/>
      <c r="E713" s="1545"/>
      <c r="F713" s="1545"/>
      <c r="G713" s="1459"/>
      <c r="H713" s="1557"/>
      <c r="J713" s="1548"/>
      <c r="K713" s="1591"/>
    </row>
    <row r="714" spans="1:11" s="1541" customFormat="1">
      <c r="A714" s="1518"/>
      <c r="B714" s="1518"/>
      <c r="C714" s="1522"/>
      <c r="D714" s="1552" t="s">
        <v>4876</v>
      </c>
      <c r="E714" s="1545"/>
      <c r="F714" s="1545"/>
      <c r="G714" s="1459"/>
      <c r="H714" s="1557"/>
      <c r="J714" s="1548"/>
      <c r="K714" s="1591"/>
    </row>
    <row r="715" spans="1:11" s="1541" customFormat="1">
      <c r="A715" s="1518"/>
      <c r="B715" s="1518"/>
      <c r="C715" s="1522"/>
      <c r="D715" s="1552" t="s">
        <v>4877</v>
      </c>
      <c r="E715" s="1545"/>
      <c r="F715" s="1545"/>
      <c r="G715" s="1459"/>
      <c r="H715" s="1557"/>
      <c r="J715" s="1548"/>
      <c r="K715" s="1591"/>
    </row>
    <row r="716" spans="1:11" s="1541" customFormat="1">
      <c r="A716" s="1518"/>
      <c r="B716" s="1518"/>
      <c r="C716" s="1522"/>
      <c r="D716" s="1552" t="s">
        <v>4878</v>
      </c>
      <c r="E716" s="1545"/>
      <c r="F716" s="1545"/>
      <c r="G716" s="1459"/>
      <c r="H716" s="1557"/>
      <c r="J716" s="1548"/>
      <c r="K716" s="1591"/>
    </row>
    <row r="717" spans="1:11" s="1541" customFormat="1" ht="25.5">
      <c r="A717" s="1518"/>
      <c r="B717" s="1518"/>
      <c r="C717" s="1522"/>
      <c r="D717" s="1552" t="s">
        <v>4879</v>
      </c>
      <c r="E717" s="1545"/>
      <c r="F717" s="1545"/>
      <c r="G717" s="1459"/>
      <c r="H717" s="1557"/>
      <c r="J717" s="1548"/>
      <c r="K717" s="1591"/>
    </row>
    <row r="718" spans="1:11" s="1541" customFormat="1">
      <c r="A718" s="1518"/>
      <c r="B718" s="1518"/>
      <c r="C718" s="1522"/>
      <c r="D718" s="1552" t="s">
        <v>4880</v>
      </c>
      <c r="E718" s="1545"/>
      <c r="F718" s="1545"/>
      <c r="G718" s="1459"/>
      <c r="H718" s="1557"/>
      <c r="J718" s="1548"/>
      <c r="K718" s="1591"/>
    </row>
    <row r="719" spans="1:11" s="1541" customFormat="1">
      <c r="A719" s="1518"/>
      <c r="B719" s="1518"/>
      <c r="C719" s="1522"/>
      <c r="D719" s="1552" t="s">
        <v>4881</v>
      </c>
      <c r="E719" s="1545"/>
      <c r="F719" s="1545"/>
      <c r="G719" s="1459"/>
      <c r="H719" s="1557"/>
      <c r="J719" s="1548"/>
      <c r="K719" s="1591"/>
    </row>
    <row r="720" spans="1:11" s="1541" customFormat="1">
      <c r="A720" s="1518"/>
      <c r="B720" s="1518"/>
      <c r="C720" s="1522"/>
      <c r="D720" s="1552" t="s">
        <v>4882</v>
      </c>
      <c r="E720" s="1545"/>
      <c r="F720" s="1545"/>
      <c r="G720" s="1459"/>
      <c r="H720" s="1557"/>
      <c r="J720" s="1548"/>
      <c r="K720" s="1591"/>
    </row>
    <row r="721" spans="1:11" s="1541" customFormat="1">
      <c r="A721" s="1518"/>
      <c r="B721" s="1518"/>
      <c r="C721" s="1522"/>
      <c r="D721" s="1552" t="s">
        <v>4883</v>
      </c>
      <c r="E721" s="1545"/>
      <c r="F721" s="1545"/>
      <c r="G721" s="1459"/>
      <c r="H721" s="1557"/>
      <c r="J721" s="1548"/>
      <c r="K721" s="1591"/>
    </row>
    <row r="722" spans="1:11" s="1541" customFormat="1">
      <c r="A722" s="1518"/>
      <c r="B722" s="1518"/>
      <c r="C722" s="1522"/>
      <c r="D722" s="1552" t="s">
        <v>4884</v>
      </c>
      <c r="E722" s="1545"/>
      <c r="F722" s="1545"/>
      <c r="G722" s="1459"/>
      <c r="H722" s="1557"/>
      <c r="J722" s="1548"/>
      <c r="K722" s="1591"/>
    </row>
    <row r="723" spans="1:11" s="1541" customFormat="1">
      <c r="A723" s="1518"/>
      <c r="B723" s="1518"/>
      <c r="C723" s="1522"/>
      <c r="D723" s="1552" t="s">
        <v>4885</v>
      </c>
      <c r="E723" s="1545"/>
      <c r="F723" s="1545"/>
      <c r="G723" s="1459"/>
      <c r="H723" s="1557"/>
      <c r="J723" s="1548"/>
      <c r="K723" s="1591"/>
    </row>
    <row r="724" spans="1:11" s="1541" customFormat="1">
      <c r="A724" s="1518"/>
      <c r="B724" s="1518"/>
      <c r="C724" s="1522"/>
      <c r="D724" s="1552" t="s">
        <v>4886</v>
      </c>
      <c r="E724" s="1545"/>
      <c r="F724" s="1545"/>
      <c r="G724" s="1459"/>
      <c r="H724" s="1557"/>
      <c r="J724" s="1548"/>
      <c r="K724" s="1591"/>
    </row>
    <row r="725" spans="1:11" s="1541" customFormat="1">
      <c r="A725" s="1518"/>
      <c r="B725" s="1518"/>
      <c r="C725" s="1522"/>
      <c r="D725" s="1552" t="s">
        <v>4887</v>
      </c>
      <c r="E725" s="1545"/>
      <c r="F725" s="1545"/>
      <c r="G725" s="1459"/>
      <c r="H725" s="1557"/>
      <c r="J725" s="1548"/>
      <c r="K725" s="1591"/>
    </row>
    <row r="726" spans="1:11" s="1541" customFormat="1">
      <c r="A726" s="1518"/>
      <c r="B726" s="1518"/>
      <c r="C726" s="1522"/>
      <c r="D726" s="1552" t="s">
        <v>4888</v>
      </c>
      <c r="E726" s="1545"/>
      <c r="F726" s="1545"/>
      <c r="G726" s="1459"/>
      <c r="H726" s="1557"/>
      <c r="J726" s="1548"/>
      <c r="K726" s="1591"/>
    </row>
    <row r="727" spans="1:11" s="1541" customFormat="1">
      <c r="A727" s="1518"/>
      <c r="B727" s="1518"/>
      <c r="C727" s="1522"/>
      <c r="D727" s="1552" t="s">
        <v>4889</v>
      </c>
      <c r="E727" s="1545"/>
      <c r="F727" s="1545"/>
      <c r="G727" s="1459"/>
      <c r="H727" s="1557"/>
      <c r="J727" s="1548"/>
      <c r="K727" s="1591"/>
    </row>
    <row r="728" spans="1:11" s="1541" customFormat="1">
      <c r="A728" s="1518"/>
      <c r="B728" s="1518"/>
      <c r="C728" s="1522"/>
      <c r="D728" s="1552" t="s">
        <v>4890</v>
      </c>
      <c r="E728" s="1545"/>
      <c r="F728" s="1545"/>
      <c r="G728" s="1459"/>
      <c r="H728" s="1557"/>
      <c r="J728" s="1548"/>
      <c r="K728" s="1591"/>
    </row>
    <row r="729" spans="1:11" s="1541" customFormat="1">
      <c r="A729" s="1518"/>
      <c r="B729" s="1518"/>
      <c r="C729" s="1522"/>
      <c r="D729" s="1552" t="s">
        <v>4891</v>
      </c>
      <c r="E729" s="1545"/>
      <c r="F729" s="1545"/>
      <c r="G729" s="1459"/>
      <c r="H729" s="1557"/>
      <c r="J729" s="1548"/>
      <c r="K729" s="1591"/>
    </row>
    <row r="730" spans="1:11" s="1541" customFormat="1">
      <c r="A730" s="1518"/>
      <c r="B730" s="1518"/>
      <c r="C730" s="1522"/>
      <c r="D730" s="1552" t="s">
        <v>4892</v>
      </c>
      <c r="E730" s="1545"/>
      <c r="F730" s="1545"/>
      <c r="G730" s="1459"/>
      <c r="H730" s="1557"/>
      <c r="J730" s="1548"/>
      <c r="K730" s="1591"/>
    </row>
    <row r="731" spans="1:11" s="1541" customFormat="1">
      <c r="A731" s="1518"/>
      <c r="B731" s="1518"/>
      <c r="C731" s="1522"/>
      <c r="D731" s="1552" t="s">
        <v>4893</v>
      </c>
      <c r="E731" s="1545"/>
      <c r="F731" s="1545"/>
      <c r="G731" s="1459"/>
      <c r="H731" s="1557"/>
      <c r="J731" s="1548"/>
      <c r="K731" s="1591"/>
    </row>
    <row r="732" spans="1:11" s="1541" customFormat="1">
      <c r="A732" s="1518"/>
      <c r="B732" s="1518"/>
      <c r="C732" s="1522"/>
      <c r="D732" s="1552" t="s">
        <v>4894</v>
      </c>
      <c r="E732" s="1545"/>
      <c r="F732" s="1545"/>
      <c r="G732" s="1459"/>
      <c r="H732" s="1557"/>
      <c r="J732" s="1548"/>
      <c r="K732" s="1591"/>
    </row>
    <row r="733" spans="1:11" s="1541" customFormat="1">
      <c r="A733" s="1518"/>
      <c r="B733" s="1518"/>
      <c r="C733" s="1522"/>
      <c r="D733" s="1552"/>
      <c r="E733" s="1545"/>
      <c r="F733" s="1545"/>
      <c r="G733" s="1459"/>
      <c r="H733" s="1557"/>
      <c r="J733" s="1548"/>
      <c r="K733" s="1591"/>
    </row>
    <row r="734" spans="1:11" s="1541" customFormat="1">
      <c r="A734" s="1518"/>
      <c r="B734" s="1518"/>
      <c r="C734" s="1522"/>
      <c r="D734" s="1552" t="s">
        <v>5533</v>
      </c>
      <c r="E734" s="1545" t="s">
        <v>34</v>
      </c>
      <c r="F734" s="1545">
        <v>4</v>
      </c>
      <c r="G734" s="1459"/>
      <c r="H734" s="1557">
        <f>SUM(F734*G734)</f>
        <v>0</v>
      </c>
      <c r="J734" s="1548"/>
      <c r="K734" s="1591"/>
    </row>
    <row r="735" spans="1:11" s="1541" customFormat="1">
      <c r="A735" s="1518"/>
      <c r="B735" s="1518"/>
      <c r="C735" s="1522"/>
      <c r="D735" s="1552" t="s">
        <v>5534</v>
      </c>
      <c r="E735" s="1545"/>
      <c r="F735" s="1545"/>
      <c r="G735" s="1459"/>
      <c r="H735" s="1557"/>
      <c r="J735" s="1548"/>
      <c r="K735" s="1591"/>
    </row>
    <row r="736" spans="1:11" s="1541" customFormat="1">
      <c r="A736" s="1518"/>
      <c r="B736" s="1518"/>
      <c r="C736" s="1522"/>
      <c r="D736" s="1552"/>
      <c r="E736" s="1545"/>
      <c r="F736" s="1545"/>
      <c r="G736" s="1459"/>
      <c r="H736" s="1557"/>
      <c r="J736" s="1548"/>
      <c r="K736" s="1591"/>
    </row>
    <row r="737" spans="1:11" s="1541" customFormat="1" ht="51">
      <c r="A737" s="1518" t="s">
        <v>5492</v>
      </c>
      <c r="B737" s="1518" t="s">
        <v>978</v>
      </c>
      <c r="C737" s="1522" t="s">
        <v>5550</v>
      </c>
      <c r="D737" s="1552" t="s">
        <v>5532</v>
      </c>
      <c r="E737" s="1545"/>
      <c r="F737" s="1545"/>
      <c r="G737" s="1459"/>
      <c r="H737" s="1557"/>
      <c r="J737" s="1548"/>
      <c r="K737" s="1591"/>
    </row>
    <row r="738" spans="1:11" s="1541" customFormat="1">
      <c r="A738" s="1518"/>
      <c r="B738" s="1518"/>
      <c r="C738" s="1522"/>
      <c r="D738" s="1552"/>
      <c r="E738" s="1545"/>
      <c r="F738" s="1545"/>
      <c r="G738" s="1459"/>
      <c r="H738" s="1557"/>
      <c r="J738" s="1548"/>
      <c r="K738" s="1591"/>
    </row>
    <row r="739" spans="1:11" s="1541" customFormat="1">
      <c r="A739" s="1518"/>
      <c r="B739" s="1518"/>
      <c r="C739" s="1522"/>
      <c r="D739" s="1552" t="s">
        <v>4895</v>
      </c>
      <c r="E739" s="1545"/>
      <c r="F739" s="1545"/>
      <c r="G739" s="1459"/>
      <c r="H739" s="1557"/>
      <c r="J739" s="1548"/>
      <c r="K739" s="1591"/>
    </row>
    <row r="740" spans="1:11" s="1541" customFormat="1">
      <c r="A740" s="1518"/>
      <c r="B740" s="1518"/>
      <c r="C740" s="1522"/>
      <c r="D740" s="1552" t="s">
        <v>4877</v>
      </c>
      <c r="E740" s="1545"/>
      <c r="F740" s="1545"/>
      <c r="G740" s="1459"/>
      <c r="H740" s="1557"/>
      <c r="J740" s="1548"/>
      <c r="K740" s="1591"/>
    </row>
    <row r="741" spans="1:11" s="1541" customFormat="1" ht="25.5">
      <c r="A741" s="1518"/>
      <c r="B741" s="1518"/>
      <c r="C741" s="1522"/>
      <c r="D741" s="1552" t="s">
        <v>4896</v>
      </c>
      <c r="E741" s="1545"/>
      <c r="F741" s="1545"/>
      <c r="G741" s="1459"/>
      <c r="H741" s="1557"/>
      <c r="J741" s="1548"/>
      <c r="K741" s="1591"/>
    </row>
    <row r="742" spans="1:11" s="1541" customFormat="1" ht="25.5">
      <c r="A742" s="1518"/>
      <c r="B742" s="1518"/>
      <c r="C742" s="1522"/>
      <c r="D742" s="1552" t="s">
        <v>4879</v>
      </c>
      <c r="E742" s="1545"/>
      <c r="F742" s="1545"/>
      <c r="G742" s="1459"/>
      <c r="H742" s="1557"/>
      <c r="J742" s="1548"/>
      <c r="K742" s="1591"/>
    </row>
    <row r="743" spans="1:11" s="1541" customFormat="1">
      <c r="A743" s="1518"/>
      <c r="B743" s="1518"/>
      <c r="C743" s="1522"/>
      <c r="D743" s="1552" t="s">
        <v>4880</v>
      </c>
      <c r="E743" s="1545"/>
      <c r="F743" s="1545"/>
      <c r="G743" s="1459"/>
      <c r="H743" s="1557"/>
      <c r="J743" s="1548"/>
      <c r="K743" s="1591"/>
    </row>
    <row r="744" spans="1:11" s="1541" customFormat="1">
      <c r="A744" s="1518"/>
      <c r="B744" s="1518"/>
      <c r="C744" s="1522"/>
      <c r="D744" s="1552" t="s">
        <v>4881</v>
      </c>
      <c r="E744" s="1545"/>
      <c r="F744" s="1545"/>
      <c r="G744" s="1459"/>
      <c r="H744" s="1557"/>
      <c r="J744" s="1548"/>
      <c r="K744" s="1591"/>
    </row>
    <row r="745" spans="1:11" s="1541" customFormat="1">
      <c r="A745" s="1518"/>
      <c r="B745" s="1518"/>
      <c r="C745" s="1522"/>
      <c r="D745" s="1552" t="s">
        <v>4882</v>
      </c>
      <c r="E745" s="1545"/>
      <c r="F745" s="1545"/>
      <c r="G745" s="1459"/>
      <c r="H745" s="1557"/>
      <c r="J745" s="1548"/>
      <c r="K745" s="1591"/>
    </row>
    <row r="746" spans="1:11" s="1541" customFormat="1">
      <c r="A746" s="1518"/>
      <c r="B746" s="1518"/>
      <c r="C746" s="1522"/>
      <c r="D746" s="1552" t="s">
        <v>4883</v>
      </c>
      <c r="E746" s="1545"/>
      <c r="F746" s="1545"/>
      <c r="G746" s="1459"/>
      <c r="H746" s="1557"/>
      <c r="J746" s="1548"/>
      <c r="K746" s="1591"/>
    </row>
    <row r="747" spans="1:11" s="1541" customFormat="1">
      <c r="A747" s="1518"/>
      <c r="B747" s="1518"/>
      <c r="C747" s="1522"/>
      <c r="D747" s="1552" t="s">
        <v>4884</v>
      </c>
      <c r="E747" s="1545"/>
      <c r="F747" s="1545"/>
      <c r="G747" s="1459"/>
      <c r="H747" s="1557"/>
      <c r="J747" s="1548"/>
      <c r="K747" s="1591"/>
    </row>
    <row r="748" spans="1:11" s="1541" customFormat="1">
      <c r="A748" s="1518"/>
      <c r="B748" s="1518"/>
      <c r="C748" s="1522"/>
      <c r="D748" s="1552" t="s">
        <v>4885</v>
      </c>
      <c r="E748" s="1545"/>
      <c r="F748" s="1545"/>
      <c r="G748" s="1459"/>
      <c r="H748" s="1557"/>
      <c r="J748" s="1548"/>
      <c r="K748" s="1591"/>
    </row>
    <row r="749" spans="1:11" s="1541" customFormat="1" ht="25.5">
      <c r="A749" s="1518"/>
      <c r="B749" s="1518"/>
      <c r="C749" s="1522"/>
      <c r="D749" s="1552" t="s">
        <v>4897</v>
      </c>
      <c r="E749" s="1545"/>
      <c r="F749" s="1545"/>
      <c r="G749" s="1459"/>
      <c r="H749" s="1557"/>
      <c r="J749" s="1548"/>
      <c r="K749" s="1591"/>
    </row>
    <row r="750" spans="1:11" s="1541" customFormat="1">
      <c r="A750" s="1518"/>
      <c r="B750" s="1518"/>
      <c r="C750" s="1522"/>
      <c r="D750" s="1552" t="s">
        <v>4886</v>
      </c>
      <c r="E750" s="1545"/>
      <c r="F750" s="1545"/>
      <c r="G750" s="1459"/>
      <c r="H750" s="1557"/>
      <c r="J750" s="1548"/>
      <c r="K750" s="1591"/>
    </row>
    <row r="751" spans="1:11" s="1541" customFormat="1">
      <c r="A751" s="1518"/>
      <c r="B751" s="1518"/>
      <c r="C751" s="1522"/>
      <c r="D751" s="1552" t="s">
        <v>4887</v>
      </c>
      <c r="E751" s="1545"/>
      <c r="F751" s="1545"/>
      <c r="G751" s="1459"/>
      <c r="H751" s="1557"/>
      <c r="J751" s="1548"/>
      <c r="K751" s="1591"/>
    </row>
    <row r="752" spans="1:11" s="1541" customFormat="1">
      <c r="A752" s="1518"/>
      <c r="B752" s="1518"/>
      <c r="C752" s="1522"/>
      <c r="D752" s="1552" t="s">
        <v>4888</v>
      </c>
      <c r="E752" s="1545"/>
      <c r="F752" s="1545"/>
      <c r="G752" s="1459"/>
      <c r="H752" s="1557"/>
      <c r="J752" s="1548"/>
      <c r="K752" s="1591"/>
    </row>
    <row r="753" spans="1:11" s="1541" customFormat="1">
      <c r="A753" s="1518"/>
      <c r="B753" s="1518"/>
      <c r="C753" s="1522"/>
      <c r="D753" s="1552" t="s">
        <v>4898</v>
      </c>
      <c r="E753" s="1545"/>
      <c r="F753" s="1545"/>
      <c r="G753" s="1459"/>
      <c r="H753" s="1557"/>
      <c r="J753" s="1548"/>
      <c r="K753" s="1591"/>
    </row>
    <row r="754" spans="1:11" s="1541" customFormat="1">
      <c r="A754" s="1518"/>
      <c r="B754" s="1518"/>
      <c r="C754" s="1522"/>
      <c r="D754" s="1552" t="s">
        <v>4899</v>
      </c>
      <c r="E754" s="1545"/>
      <c r="F754" s="1545"/>
      <c r="G754" s="1459"/>
      <c r="H754" s="1557"/>
      <c r="J754" s="1548"/>
      <c r="K754" s="1591"/>
    </row>
    <row r="755" spans="1:11" s="1541" customFormat="1">
      <c r="A755" s="1518"/>
      <c r="B755" s="1518"/>
      <c r="C755" s="1522"/>
      <c r="D755" s="1552" t="s">
        <v>4891</v>
      </c>
      <c r="E755" s="1545"/>
      <c r="F755" s="1545"/>
      <c r="G755" s="1459"/>
      <c r="H755" s="1557"/>
      <c r="J755" s="1548"/>
      <c r="K755" s="1591"/>
    </row>
    <row r="756" spans="1:11" s="1541" customFormat="1">
      <c r="A756" s="1518"/>
      <c r="B756" s="1518"/>
      <c r="C756" s="1522"/>
      <c r="D756" s="1552" t="s">
        <v>4892</v>
      </c>
      <c r="E756" s="1545"/>
      <c r="F756" s="1545"/>
      <c r="G756" s="1459"/>
      <c r="H756" s="1557"/>
      <c r="J756" s="1548"/>
      <c r="K756" s="1591"/>
    </row>
    <row r="757" spans="1:11" s="1541" customFormat="1">
      <c r="A757" s="1518"/>
      <c r="B757" s="1518"/>
      <c r="C757" s="1522"/>
      <c r="D757" s="1552" t="s">
        <v>4893</v>
      </c>
      <c r="E757" s="1545"/>
      <c r="F757" s="1545"/>
      <c r="G757" s="1459"/>
      <c r="H757" s="1557"/>
      <c r="J757" s="1548"/>
      <c r="K757" s="1591"/>
    </row>
    <row r="758" spans="1:11" s="1541" customFormat="1">
      <c r="A758" s="1518"/>
      <c r="B758" s="1518"/>
      <c r="C758" s="1522"/>
      <c r="D758" s="1552" t="s">
        <v>4894</v>
      </c>
      <c r="E758" s="1545"/>
      <c r="F758" s="1545"/>
      <c r="G758" s="1459"/>
      <c r="H758" s="1557"/>
      <c r="J758" s="1548"/>
      <c r="K758" s="1591"/>
    </row>
    <row r="759" spans="1:11" s="1541" customFormat="1">
      <c r="A759" s="1518"/>
      <c r="B759" s="1518"/>
      <c r="C759" s="1522"/>
      <c r="D759" s="1552"/>
      <c r="E759" s="1545"/>
      <c r="F759" s="1545"/>
      <c r="G759" s="1459"/>
      <c r="H759" s="1557"/>
      <c r="J759" s="1548"/>
      <c r="K759" s="1591"/>
    </row>
    <row r="760" spans="1:11" s="1541" customFormat="1">
      <c r="A760" s="1518"/>
      <c r="B760" s="1518"/>
      <c r="C760" s="1522"/>
      <c r="D760" s="1552" t="s">
        <v>5533</v>
      </c>
      <c r="E760" s="1545" t="s">
        <v>34</v>
      </c>
      <c r="F760" s="1545">
        <v>2</v>
      </c>
      <c r="G760" s="1459"/>
      <c r="H760" s="1557">
        <f>SUM(F760*G760)</f>
        <v>0</v>
      </c>
      <c r="J760" s="1548"/>
      <c r="K760" s="1591"/>
    </row>
    <row r="761" spans="1:11" s="1541" customFormat="1">
      <c r="A761" s="1518"/>
      <c r="B761" s="1518"/>
      <c r="C761" s="1522"/>
      <c r="D761" s="1552" t="s">
        <v>5534</v>
      </c>
      <c r="E761" s="1545"/>
      <c r="F761" s="1545"/>
      <c r="G761" s="1459"/>
      <c r="H761" s="1557"/>
      <c r="J761" s="1548"/>
      <c r="K761" s="1591"/>
    </row>
    <row r="762" spans="1:11" s="1541" customFormat="1">
      <c r="A762" s="1518"/>
      <c r="B762" s="1518"/>
      <c r="C762" s="1522"/>
      <c r="D762" s="1552"/>
      <c r="E762" s="1545"/>
      <c r="F762" s="1545"/>
      <c r="G762" s="1459"/>
      <c r="H762" s="1557"/>
      <c r="J762" s="1548"/>
      <c r="K762" s="1591"/>
    </row>
    <row r="763" spans="1:11" s="1541" customFormat="1" ht="51">
      <c r="A763" s="1518" t="s">
        <v>5492</v>
      </c>
      <c r="B763" s="1518" t="s">
        <v>978</v>
      </c>
      <c r="C763" s="1522" t="s">
        <v>5551</v>
      </c>
      <c r="D763" s="1552" t="s">
        <v>4900</v>
      </c>
      <c r="E763" s="1545"/>
      <c r="F763" s="1545"/>
      <c r="G763" s="1459"/>
      <c r="H763" s="1557"/>
      <c r="J763" s="1548"/>
      <c r="K763" s="1591"/>
    </row>
    <row r="764" spans="1:11" s="1541" customFormat="1">
      <c r="A764" s="1518"/>
      <c r="B764" s="1518"/>
      <c r="C764" s="1522"/>
      <c r="D764" s="1552"/>
      <c r="E764" s="1545"/>
      <c r="F764" s="1545"/>
      <c r="G764" s="1459"/>
      <c r="H764" s="1557"/>
      <c r="J764" s="1548"/>
      <c r="K764" s="1591"/>
    </row>
    <row r="765" spans="1:11" s="1541" customFormat="1" ht="38.25">
      <c r="A765" s="1518"/>
      <c r="B765" s="1518"/>
      <c r="C765" s="1522"/>
      <c r="D765" s="1552" t="s">
        <v>4901</v>
      </c>
      <c r="E765" s="1545"/>
      <c r="F765" s="1545"/>
      <c r="G765" s="1459"/>
      <c r="H765" s="1557"/>
      <c r="J765" s="1548"/>
      <c r="K765" s="1591"/>
    </row>
    <row r="766" spans="1:11" s="1541" customFormat="1">
      <c r="A766" s="1518"/>
      <c r="B766" s="1518"/>
      <c r="C766" s="1522"/>
      <c r="D766" s="1552" t="s">
        <v>4877</v>
      </c>
      <c r="E766" s="1545"/>
      <c r="F766" s="1545"/>
      <c r="G766" s="1459"/>
      <c r="H766" s="1557"/>
      <c r="J766" s="1548"/>
      <c r="K766" s="1591"/>
    </row>
    <row r="767" spans="1:11" s="1541" customFormat="1" ht="25.5">
      <c r="A767" s="1518"/>
      <c r="B767" s="1518"/>
      <c r="C767" s="1522"/>
      <c r="D767" s="1552" t="s">
        <v>4896</v>
      </c>
      <c r="E767" s="1545"/>
      <c r="F767" s="1545"/>
      <c r="G767" s="1459"/>
      <c r="H767" s="1557"/>
      <c r="J767" s="1548"/>
      <c r="K767" s="1591"/>
    </row>
    <row r="768" spans="1:11" s="1541" customFormat="1" ht="25.5">
      <c r="A768" s="1518"/>
      <c r="B768" s="1518"/>
      <c r="C768" s="1522"/>
      <c r="D768" s="1552" t="s">
        <v>4879</v>
      </c>
      <c r="E768" s="1545"/>
      <c r="F768" s="1545"/>
      <c r="G768" s="1459"/>
      <c r="H768" s="1557"/>
      <c r="J768" s="1548"/>
      <c r="K768" s="1591"/>
    </row>
    <row r="769" spans="1:11" s="1541" customFormat="1">
      <c r="A769" s="1518"/>
      <c r="B769" s="1518"/>
      <c r="C769" s="1522"/>
      <c r="D769" s="1552" t="s">
        <v>4880</v>
      </c>
      <c r="E769" s="1545"/>
      <c r="F769" s="1545"/>
      <c r="G769" s="1459"/>
      <c r="H769" s="1557"/>
      <c r="J769" s="1548"/>
      <c r="K769" s="1591"/>
    </row>
    <row r="770" spans="1:11" s="1541" customFormat="1">
      <c r="A770" s="1518"/>
      <c r="B770" s="1518"/>
      <c r="C770" s="1522"/>
      <c r="D770" s="1552" t="s">
        <v>4881</v>
      </c>
      <c r="E770" s="1545"/>
      <c r="F770" s="1545"/>
      <c r="G770" s="1459"/>
      <c r="H770" s="1557"/>
      <c r="J770" s="1548"/>
      <c r="K770" s="1591"/>
    </row>
    <row r="771" spans="1:11" s="1541" customFormat="1" ht="25.5">
      <c r="A771" s="1518"/>
      <c r="B771" s="1518"/>
      <c r="C771" s="1522"/>
      <c r="D771" s="1552" t="s">
        <v>4902</v>
      </c>
      <c r="E771" s="1545"/>
      <c r="F771" s="1545"/>
      <c r="G771" s="1459"/>
      <c r="H771" s="1557"/>
      <c r="J771" s="1548"/>
      <c r="K771" s="1591"/>
    </row>
    <row r="772" spans="1:11" s="1541" customFormat="1">
      <c r="A772" s="1518"/>
      <c r="B772" s="1518"/>
      <c r="C772" s="1522"/>
      <c r="D772" s="1552" t="s">
        <v>4903</v>
      </c>
      <c r="E772" s="1545"/>
      <c r="F772" s="1545"/>
      <c r="G772" s="1459"/>
      <c r="H772" s="1557"/>
      <c r="J772" s="1548"/>
      <c r="K772" s="1591"/>
    </row>
    <row r="773" spans="1:11" s="1541" customFormat="1">
      <c r="A773" s="1518"/>
      <c r="B773" s="1518"/>
      <c r="C773" s="1522"/>
      <c r="D773" s="1552" t="s">
        <v>4887</v>
      </c>
      <c r="E773" s="1545"/>
      <c r="F773" s="1545"/>
      <c r="G773" s="1459"/>
      <c r="H773" s="1557"/>
      <c r="J773" s="1548"/>
      <c r="K773" s="1591"/>
    </row>
    <row r="774" spans="1:11" s="1541" customFormat="1">
      <c r="A774" s="1518"/>
      <c r="B774" s="1518"/>
      <c r="C774" s="1522"/>
      <c r="D774" s="1552" t="s">
        <v>4904</v>
      </c>
      <c r="E774" s="1545"/>
      <c r="F774" s="1545"/>
      <c r="G774" s="1459"/>
      <c r="H774" s="1557"/>
      <c r="J774" s="1548"/>
      <c r="K774" s="1591"/>
    </row>
    <row r="775" spans="1:11" s="1541" customFormat="1">
      <c r="A775" s="1518"/>
      <c r="B775" s="1518"/>
      <c r="C775" s="1522"/>
      <c r="D775" s="1552" t="s">
        <v>4905</v>
      </c>
      <c r="E775" s="1545"/>
      <c r="F775" s="1545"/>
      <c r="G775" s="1459"/>
      <c r="H775" s="1557"/>
      <c r="J775" s="1548"/>
      <c r="K775" s="1591"/>
    </row>
    <row r="776" spans="1:11" s="1541" customFormat="1">
      <c r="A776" s="1518"/>
      <c r="B776" s="1518"/>
      <c r="C776" s="1522"/>
      <c r="D776" s="1552" t="s">
        <v>4891</v>
      </c>
      <c r="E776" s="1545"/>
      <c r="F776" s="1545"/>
      <c r="G776" s="1459"/>
      <c r="H776" s="1557"/>
      <c r="J776" s="1548"/>
      <c r="K776" s="1591"/>
    </row>
    <row r="777" spans="1:11" s="1541" customFormat="1">
      <c r="A777" s="1518"/>
      <c r="B777" s="1518"/>
      <c r="C777" s="1522"/>
      <c r="D777" s="1552" t="s">
        <v>4892</v>
      </c>
      <c r="E777" s="1545"/>
      <c r="F777" s="1545"/>
      <c r="G777" s="1459"/>
      <c r="H777" s="1557"/>
      <c r="J777" s="1548"/>
      <c r="K777" s="1591"/>
    </row>
    <row r="778" spans="1:11" s="1541" customFormat="1">
      <c r="A778" s="1518"/>
      <c r="B778" s="1518"/>
      <c r="C778" s="1522"/>
      <c r="D778" s="1552" t="s">
        <v>4893</v>
      </c>
      <c r="E778" s="1545"/>
      <c r="F778" s="1545"/>
      <c r="G778" s="1459"/>
      <c r="H778" s="1557"/>
      <c r="J778" s="1548"/>
      <c r="K778" s="1591"/>
    </row>
    <row r="779" spans="1:11" s="1541" customFormat="1">
      <c r="A779" s="1518"/>
      <c r="B779" s="1518"/>
      <c r="C779" s="1522"/>
      <c r="D779" s="1552" t="s">
        <v>4906</v>
      </c>
      <c r="E779" s="1545"/>
      <c r="F779" s="1545"/>
      <c r="G779" s="1459"/>
      <c r="H779" s="1557"/>
      <c r="J779" s="1548"/>
      <c r="K779" s="1591"/>
    </row>
    <row r="780" spans="1:11" s="1541" customFormat="1">
      <c r="A780" s="1518"/>
      <c r="B780" s="1518"/>
      <c r="C780" s="1522"/>
      <c r="D780" s="1552"/>
      <c r="E780" s="1545"/>
      <c r="F780" s="1545"/>
      <c r="G780" s="1459"/>
      <c r="H780" s="1557"/>
      <c r="J780" s="1548"/>
      <c r="K780" s="1591"/>
    </row>
    <row r="781" spans="1:11" s="1541" customFormat="1">
      <c r="A781" s="1518"/>
      <c r="B781" s="1518"/>
      <c r="C781" s="1522"/>
      <c r="D781" s="1552" t="s">
        <v>5533</v>
      </c>
      <c r="E781" s="1545" t="s">
        <v>34</v>
      </c>
      <c r="F781" s="1545">
        <v>1</v>
      </c>
      <c r="G781" s="1459"/>
      <c r="H781" s="1557">
        <f>SUM(F781*G781)</f>
        <v>0</v>
      </c>
      <c r="J781" s="1548"/>
      <c r="K781" s="1591"/>
    </row>
    <row r="782" spans="1:11" s="1541" customFormat="1">
      <c r="A782" s="1518"/>
      <c r="B782" s="1518"/>
      <c r="C782" s="1522"/>
      <c r="D782" s="1552" t="s">
        <v>5534</v>
      </c>
      <c r="E782" s="1545"/>
      <c r="F782" s="1545"/>
      <c r="G782" s="1459"/>
      <c r="H782" s="1557"/>
      <c r="J782" s="1548"/>
      <c r="K782" s="1591"/>
    </row>
    <row r="783" spans="1:11" s="1541" customFormat="1">
      <c r="A783" s="1518"/>
      <c r="B783" s="1518"/>
      <c r="C783" s="1522"/>
      <c r="D783" s="1552"/>
      <c r="E783" s="1545"/>
      <c r="F783" s="1545"/>
      <c r="G783" s="1459"/>
      <c r="H783" s="1557"/>
      <c r="J783" s="1548"/>
      <c r="K783" s="1591"/>
    </row>
    <row r="784" spans="1:11" s="1541" customFormat="1" ht="63.75">
      <c r="A784" s="1518" t="s">
        <v>5492</v>
      </c>
      <c r="B784" s="1518" t="s">
        <v>978</v>
      </c>
      <c r="C784" s="1522" t="s">
        <v>5552</v>
      </c>
      <c r="D784" s="1552" t="s">
        <v>4907</v>
      </c>
      <c r="E784" s="1545"/>
      <c r="F784" s="1545"/>
      <c r="G784" s="1459"/>
      <c r="H784" s="1557"/>
      <c r="J784" s="1548"/>
      <c r="K784" s="1591"/>
    </row>
    <row r="785" spans="1:11" s="1541" customFormat="1">
      <c r="A785" s="1518"/>
      <c r="B785" s="1518"/>
      <c r="C785" s="1522"/>
      <c r="D785" s="1552"/>
      <c r="E785" s="1545"/>
      <c r="F785" s="1545"/>
      <c r="G785" s="1459"/>
      <c r="H785" s="1557"/>
      <c r="J785" s="1548"/>
      <c r="K785" s="1591"/>
    </row>
    <row r="786" spans="1:11" s="1541" customFormat="1">
      <c r="A786" s="1518"/>
      <c r="B786" s="1518"/>
      <c r="C786" s="1522"/>
      <c r="D786" s="1552" t="s">
        <v>4908</v>
      </c>
      <c r="E786" s="1545"/>
      <c r="F786" s="1545"/>
      <c r="G786" s="1459"/>
      <c r="H786" s="1557"/>
      <c r="J786" s="1548"/>
      <c r="K786" s="1591"/>
    </row>
    <row r="787" spans="1:11" s="1541" customFormat="1">
      <c r="A787" s="1518"/>
      <c r="B787" s="1518"/>
      <c r="C787" s="1522"/>
      <c r="D787" s="1552" t="s">
        <v>4909</v>
      </c>
      <c r="E787" s="1545"/>
      <c r="F787" s="1545"/>
      <c r="G787" s="1459"/>
      <c r="H787" s="1557"/>
      <c r="J787" s="1548"/>
      <c r="K787" s="1591"/>
    </row>
    <row r="788" spans="1:11" s="1541" customFormat="1">
      <c r="A788" s="1518"/>
      <c r="B788" s="1518"/>
      <c r="C788" s="1522"/>
      <c r="D788" s="1552" t="s">
        <v>4910</v>
      </c>
      <c r="E788" s="1545"/>
      <c r="F788" s="1545"/>
      <c r="G788" s="1459"/>
      <c r="H788" s="1557"/>
      <c r="J788" s="1548"/>
      <c r="K788" s="1591"/>
    </row>
    <row r="789" spans="1:11" s="1541" customFormat="1">
      <c r="A789" s="1518"/>
      <c r="B789" s="1518"/>
      <c r="C789" s="1522"/>
      <c r="D789" s="1552" t="s">
        <v>4911</v>
      </c>
      <c r="E789" s="1545"/>
      <c r="F789" s="1545"/>
      <c r="G789" s="1459"/>
      <c r="H789" s="1557"/>
      <c r="J789" s="1548"/>
      <c r="K789" s="1591"/>
    </row>
    <row r="790" spans="1:11" s="1541" customFormat="1">
      <c r="A790" s="1518"/>
      <c r="B790" s="1518"/>
      <c r="C790" s="1522"/>
      <c r="D790" s="1552" t="s">
        <v>4912</v>
      </c>
      <c r="E790" s="1545"/>
      <c r="F790" s="1545"/>
      <c r="G790" s="1459"/>
      <c r="H790" s="1557"/>
      <c r="J790" s="1548"/>
      <c r="K790" s="1591"/>
    </row>
    <row r="791" spans="1:11" s="1541" customFormat="1">
      <c r="A791" s="1518"/>
      <c r="B791" s="1518"/>
      <c r="C791" s="1522"/>
      <c r="D791" s="1552" t="s">
        <v>4887</v>
      </c>
      <c r="E791" s="1545"/>
      <c r="F791" s="1545"/>
      <c r="G791" s="1459"/>
      <c r="H791" s="1557"/>
      <c r="J791" s="1548"/>
      <c r="K791" s="1591"/>
    </row>
    <row r="792" spans="1:11" s="1541" customFormat="1" ht="25.5">
      <c r="A792" s="1518"/>
      <c r="B792" s="1518"/>
      <c r="C792" s="1522"/>
      <c r="D792" s="1552" t="s">
        <v>4913</v>
      </c>
      <c r="E792" s="1545"/>
      <c r="F792" s="1545"/>
      <c r="G792" s="1459"/>
      <c r="H792" s="1557"/>
      <c r="J792" s="1548"/>
      <c r="K792" s="1591"/>
    </row>
    <row r="793" spans="1:11" s="1541" customFormat="1" ht="38.25">
      <c r="A793" s="1518"/>
      <c r="B793" s="1518"/>
      <c r="C793" s="1522"/>
      <c r="D793" s="1552" t="s">
        <v>4914</v>
      </c>
      <c r="E793" s="1545"/>
      <c r="F793" s="1545"/>
      <c r="G793" s="1459"/>
      <c r="H793" s="1557"/>
      <c r="J793" s="1548"/>
      <c r="K793" s="1591"/>
    </row>
    <row r="794" spans="1:11" s="1541" customFormat="1">
      <c r="A794" s="1518"/>
      <c r="B794" s="1518"/>
      <c r="C794" s="1522"/>
      <c r="D794" s="1552" t="s">
        <v>4915</v>
      </c>
      <c r="E794" s="1545"/>
      <c r="F794" s="1545"/>
      <c r="G794" s="1459"/>
      <c r="H794" s="1557"/>
      <c r="J794" s="1548"/>
      <c r="K794" s="1591"/>
    </row>
    <row r="795" spans="1:11" s="1541" customFormat="1">
      <c r="A795" s="1518"/>
      <c r="B795" s="1518"/>
      <c r="C795" s="1522"/>
      <c r="D795" s="1552" t="s">
        <v>4916</v>
      </c>
      <c r="E795" s="1545"/>
      <c r="F795" s="1545"/>
      <c r="G795" s="1459"/>
      <c r="H795" s="1557"/>
      <c r="J795" s="1548"/>
      <c r="K795" s="1591"/>
    </row>
    <row r="796" spans="1:11" s="1541" customFormat="1">
      <c r="A796" s="1518"/>
      <c r="B796" s="1518"/>
      <c r="C796" s="1522"/>
      <c r="D796" s="1552" t="s">
        <v>4917</v>
      </c>
      <c r="E796" s="1545"/>
      <c r="F796" s="1545"/>
      <c r="G796" s="1459"/>
      <c r="H796" s="1557"/>
      <c r="J796" s="1548"/>
      <c r="K796" s="1591"/>
    </row>
    <row r="797" spans="1:11" s="1541" customFormat="1">
      <c r="A797" s="1518"/>
      <c r="B797" s="1518"/>
      <c r="C797" s="1522"/>
      <c r="D797" s="1552" t="s">
        <v>4891</v>
      </c>
      <c r="E797" s="1545"/>
      <c r="F797" s="1545"/>
      <c r="G797" s="1459"/>
      <c r="H797" s="1557"/>
      <c r="J797" s="1548"/>
      <c r="K797" s="1591"/>
    </row>
    <row r="798" spans="1:11" s="1541" customFormat="1">
      <c r="A798" s="1518"/>
      <c r="B798" s="1518"/>
      <c r="C798" s="1522"/>
      <c r="D798" s="1552" t="s">
        <v>4918</v>
      </c>
      <c r="E798" s="1545"/>
      <c r="F798" s="1545"/>
      <c r="G798" s="1459"/>
      <c r="H798" s="1557"/>
      <c r="J798" s="1548"/>
      <c r="K798" s="1591"/>
    </row>
    <row r="799" spans="1:11" s="1541" customFormat="1" ht="25.5">
      <c r="A799" s="1518"/>
      <c r="B799" s="1518"/>
      <c r="C799" s="1522"/>
      <c r="D799" s="1552" t="s">
        <v>4919</v>
      </c>
      <c r="E799" s="1545"/>
      <c r="F799" s="1545"/>
      <c r="G799" s="1459"/>
      <c r="H799" s="1557"/>
      <c r="J799" s="1548"/>
      <c r="K799" s="1591"/>
    </row>
    <row r="800" spans="1:11" s="1541" customFormat="1">
      <c r="A800" s="1518"/>
      <c r="B800" s="1518"/>
      <c r="C800" s="1522"/>
      <c r="D800" s="1552" t="s">
        <v>4892</v>
      </c>
      <c r="E800" s="1545"/>
      <c r="F800" s="1545"/>
      <c r="G800" s="1459"/>
      <c r="H800" s="1557"/>
      <c r="J800" s="1548"/>
      <c r="K800" s="1591"/>
    </row>
    <row r="801" spans="1:11" s="1541" customFormat="1">
      <c r="A801" s="1518"/>
      <c r="B801" s="1518"/>
      <c r="C801" s="1522"/>
      <c r="D801" s="1552"/>
      <c r="E801" s="1545"/>
      <c r="F801" s="1545"/>
      <c r="G801" s="1459"/>
      <c r="H801" s="1557"/>
      <c r="J801" s="1548"/>
      <c r="K801" s="1591"/>
    </row>
    <row r="802" spans="1:11" s="1541" customFormat="1">
      <c r="A802" s="1518"/>
      <c r="B802" s="1518"/>
      <c r="C802" s="1522"/>
      <c r="D802" s="1552" t="s">
        <v>5533</v>
      </c>
      <c r="E802" s="1545" t="s">
        <v>34</v>
      </c>
      <c r="F802" s="1545">
        <v>4</v>
      </c>
      <c r="G802" s="1459"/>
      <c r="H802" s="1557">
        <f>SUM(F802*G802)</f>
        <v>0</v>
      </c>
      <c r="J802" s="1548"/>
      <c r="K802" s="1591"/>
    </row>
    <row r="803" spans="1:11" s="1541" customFormat="1">
      <c r="A803" s="1518"/>
      <c r="B803" s="1518"/>
      <c r="C803" s="1522"/>
      <c r="D803" s="1552" t="s">
        <v>5534</v>
      </c>
      <c r="E803" s="1545"/>
      <c r="F803" s="1545"/>
      <c r="G803" s="1459"/>
      <c r="H803" s="1557"/>
      <c r="J803" s="1548"/>
      <c r="K803" s="1591"/>
    </row>
    <row r="804" spans="1:11" s="1541" customFormat="1">
      <c r="A804" s="1518"/>
      <c r="B804" s="1518"/>
      <c r="C804" s="1522"/>
      <c r="D804" s="1552"/>
      <c r="E804" s="1545"/>
      <c r="F804" s="1545"/>
      <c r="G804" s="1459"/>
      <c r="H804" s="1557"/>
      <c r="J804" s="1548"/>
      <c r="K804" s="1591"/>
    </row>
    <row r="805" spans="1:11" s="1541" customFormat="1" ht="51">
      <c r="A805" s="1518" t="s">
        <v>5492</v>
      </c>
      <c r="B805" s="1518" t="s">
        <v>978</v>
      </c>
      <c r="C805" s="1522" t="s">
        <v>5553</v>
      </c>
      <c r="D805" s="1552" t="s">
        <v>5535</v>
      </c>
      <c r="E805" s="1545"/>
      <c r="F805" s="1545"/>
      <c r="G805" s="1459"/>
      <c r="H805" s="1557"/>
      <c r="J805" s="1548"/>
      <c r="K805" s="1591"/>
    </row>
    <row r="806" spans="1:11" s="1541" customFormat="1">
      <c r="A806" s="1518"/>
      <c r="B806" s="1518"/>
      <c r="C806" s="1522"/>
      <c r="D806" s="1552"/>
      <c r="E806" s="1545"/>
      <c r="F806" s="1545"/>
      <c r="G806" s="1459"/>
      <c r="H806" s="1557"/>
      <c r="J806" s="1548"/>
      <c r="K806" s="1591"/>
    </row>
    <row r="807" spans="1:11" s="1541" customFormat="1">
      <c r="A807" s="1518"/>
      <c r="B807" s="1518"/>
      <c r="C807" s="1522"/>
      <c r="D807" s="1552" t="s">
        <v>4920</v>
      </c>
      <c r="E807" s="1545"/>
      <c r="F807" s="1545"/>
      <c r="G807" s="1459"/>
      <c r="H807" s="1557"/>
      <c r="J807" s="1548"/>
      <c r="K807" s="1591"/>
    </row>
    <row r="808" spans="1:11" s="1541" customFormat="1">
      <c r="A808" s="1518"/>
      <c r="B808" s="1518"/>
      <c r="C808" s="1522"/>
      <c r="D808" s="1552" t="s">
        <v>4921</v>
      </c>
      <c r="E808" s="1545"/>
      <c r="F808" s="1545"/>
      <c r="G808" s="1459"/>
      <c r="H808" s="1557"/>
      <c r="J808" s="1548"/>
      <c r="K808" s="1591"/>
    </row>
    <row r="809" spans="1:11" s="1541" customFormat="1" ht="25.5">
      <c r="A809" s="1518"/>
      <c r="B809" s="1518"/>
      <c r="C809" s="1522"/>
      <c r="D809" s="1552" t="s">
        <v>4896</v>
      </c>
      <c r="E809" s="1545"/>
      <c r="F809" s="1545"/>
      <c r="G809" s="1459"/>
      <c r="H809" s="1557"/>
      <c r="J809" s="1548"/>
      <c r="K809" s="1591"/>
    </row>
    <row r="810" spans="1:11" s="1541" customFormat="1">
      <c r="A810" s="1518"/>
      <c r="B810" s="1518"/>
      <c r="C810" s="1522"/>
      <c r="D810" s="1552" t="s">
        <v>4922</v>
      </c>
      <c r="E810" s="1545"/>
      <c r="F810" s="1545"/>
      <c r="G810" s="1459"/>
      <c r="H810" s="1557"/>
      <c r="J810" s="1548"/>
      <c r="K810" s="1591"/>
    </row>
    <row r="811" spans="1:11" s="1541" customFormat="1" ht="25.5">
      <c r="A811" s="1518"/>
      <c r="B811" s="1518"/>
      <c r="C811" s="1522"/>
      <c r="D811" s="1552" t="s">
        <v>4923</v>
      </c>
      <c r="E811" s="1545"/>
      <c r="F811" s="1545"/>
      <c r="G811" s="1459"/>
      <c r="H811" s="1557"/>
      <c r="J811" s="1548"/>
      <c r="K811" s="1591"/>
    </row>
    <row r="812" spans="1:11" s="1541" customFormat="1">
      <c r="A812" s="1518"/>
      <c r="B812" s="1518"/>
      <c r="C812" s="1522"/>
      <c r="D812" s="1552" t="s">
        <v>4924</v>
      </c>
      <c r="E812" s="1545"/>
      <c r="F812" s="1545"/>
      <c r="G812" s="1459"/>
      <c r="H812" s="1557"/>
      <c r="J812" s="1548"/>
      <c r="K812" s="1591"/>
    </row>
    <row r="813" spans="1:11" s="1541" customFormat="1">
      <c r="A813" s="1518"/>
      <c r="B813" s="1518"/>
      <c r="C813" s="1522"/>
      <c r="D813" s="1552" t="s">
        <v>4882</v>
      </c>
      <c r="E813" s="1545"/>
      <c r="F813" s="1545"/>
      <c r="G813" s="1459"/>
      <c r="H813" s="1557"/>
      <c r="J813" s="1548"/>
      <c r="K813" s="1591"/>
    </row>
    <row r="814" spans="1:11" s="1541" customFormat="1" ht="25.5">
      <c r="A814" s="1518"/>
      <c r="B814" s="1518"/>
      <c r="C814" s="1522"/>
      <c r="D814" s="1552" t="s">
        <v>4897</v>
      </c>
      <c r="E814" s="1545"/>
      <c r="F814" s="1545"/>
      <c r="G814" s="1459"/>
      <c r="H814" s="1557"/>
      <c r="J814" s="1548"/>
      <c r="K814" s="1591"/>
    </row>
    <row r="815" spans="1:11" s="1541" customFormat="1">
      <c r="A815" s="1518"/>
      <c r="B815" s="1518"/>
      <c r="C815" s="1522"/>
      <c r="D815" s="1552" t="s">
        <v>4925</v>
      </c>
      <c r="E815" s="1545"/>
      <c r="F815" s="1545"/>
      <c r="G815" s="1459"/>
      <c r="H815" s="1557"/>
      <c r="J815" s="1548"/>
      <c r="K815" s="1591"/>
    </row>
    <row r="816" spans="1:11" s="1541" customFormat="1">
      <c r="A816" s="1518"/>
      <c r="B816" s="1518"/>
      <c r="C816" s="1522"/>
      <c r="D816" s="1552" t="s">
        <v>4886</v>
      </c>
      <c r="E816" s="1545"/>
      <c r="F816" s="1545"/>
      <c r="G816" s="1459"/>
      <c r="H816" s="1557"/>
      <c r="J816" s="1548"/>
      <c r="K816" s="1591"/>
    </row>
    <row r="817" spans="1:11" s="1541" customFormat="1">
      <c r="A817" s="1518"/>
      <c r="B817" s="1518"/>
      <c r="C817" s="1522"/>
      <c r="D817" s="1552" t="s">
        <v>4887</v>
      </c>
      <c r="E817" s="1545"/>
      <c r="F817" s="1545"/>
      <c r="G817" s="1459"/>
      <c r="H817" s="1557"/>
      <c r="J817" s="1548"/>
      <c r="K817" s="1591"/>
    </row>
    <row r="818" spans="1:11" s="1541" customFormat="1">
      <c r="A818" s="1518"/>
      <c r="B818" s="1518"/>
      <c r="C818" s="1522"/>
      <c r="D818" s="1552" t="s">
        <v>4888</v>
      </c>
      <c r="E818" s="1545"/>
      <c r="F818" s="1545"/>
      <c r="G818" s="1459"/>
      <c r="H818" s="1557"/>
      <c r="J818" s="1548"/>
      <c r="K818" s="1591"/>
    </row>
    <row r="819" spans="1:11" s="1541" customFormat="1">
      <c r="A819" s="1518"/>
      <c r="B819" s="1518"/>
      <c r="C819" s="1522"/>
      <c r="D819" s="1552" t="s">
        <v>4926</v>
      </c>
      <c r="E819" s="1545"/>
      <c r="F819" s="1545"/>
      <c r="G819" s="1459"/>
      <c r="H819" s="1557"/>
      <c r="J819" s="1548"/>
      <c r="K819" s="1591"/>
    </row>
    <row r="820" spans="1:11" s="1541" customFormat="1">
      <c r="A820" s="1518"/>
      <c r="B820" s="1518"/>
      <c r="C820" s="1522"/>
      <c r="D820" s="1552" t="s">
        <v>4927</v>
      </c>
      <c r="E820" s="1545"/>
      <c r="F820" s="1545"/>
      <c r="G820" s="1459"/>
      <c r="H820" s="1557"/>
      <c r="J820" s="1548"/>
      <c r="K820" s="1591"/>
    </row>
    <row r="821" spans="1:11" s="1541" customFormat="1">
      <c r="A821" s="1518"/>
      <c r="B821" s="1518"/>
      <c r="C821" s="1522"/>
      <c r="D821" s="1552" t="s">
        <v>4891</v>
      </c>
      <c r="E821" s="1545"/>
      <c r="F821" s="1545"/>
      <c r="G821" s="1459"/>
      <c r="H821" s="1557"/>
      <c r="J821" s="1548"/>
      <c r="K821" s="1591"/>
    </row>
    <row r="822" spans="1:11" s="1541" customFormat="1">
      <c r="A822" s="1518"/>
      <c r="B822" s="1518"/>
      <c r="C822" s="1522"/>
      <c r="D822" s="1552" t="s">
        <v>4892</v>
      </c>
      <c r="E822" s="1545"/>
      <c r="F822" s="1545"/>
      <c r="G822" s="1459"/>
      <c r="H822" s="1557"/>
      <c r="J822" s="1548"/>
      <c r="K822" s="1591"/>
    </row>
    <row r="823" spans="1:11" s="1541" customFormat="1">
      <c r="A823" s="1518"/>
      <c r="B823" s="1518"/>
      <c r="C823" s="1522"/>
      <c r="D823" s="1552" t="s">
        <v>4893</v>
      </c>
      <c r="E823" s="1545"/>
      <c r="F823" s="1545"/>
      <c r="G823" s="1459"/>
      <c r="H823" s="1557"/>
      <c r="J823" s="1548"/>
      <c r="K823" s="1591"/>
    </row>
    <row r="824" spans="1:11" s="1541" customFormat="1">
      <c r="A824" s="1518"/>
      <c r="B824" s="1518"/>
      <c r="C824" s="1522"/>
      <c r="D824" s="1552"/>
      <c r="E824" s="1545"/>
      <c r="F824" s="1545"/>
      <c r="G824" s="1459"/>
      <c r="H824" s="1557"/>
      <c r="J824" s="1548"/>
      <c r="K824" s="1591"/>
    </row>
    <row r="825" spans="1:11" s="1541" customFormat="1">
      <c r="A825" s="1518"/>
      <c r="B825" s="1518"/>
      <c r="C825" s="1522"/>
      <c r="D825" s="1552" t="s">
        <v>5533</v>
      </c>
      <c r="E825" s="1545" t="s">
        <v>34</v>
      </c>
      <c r="F825" s="1545">
        <v>5</v>
      </c>
      <c r="G825" s="1459"/>
      <c r="H825" s="1557">
        <f>SUM(F825*G825)</f>
        <v>0</v>
      </c>
      <c r="J825" s="1548"/>
      <c r="K825" s="1591"/>
    </row>
    <row r="826" spans="1:11" s="1541" customFormat="1">
      <c r="A826" s="1518"/>
      <c r="B826" s="1518"/>
      <c r="C826" s="1522"/>
      <c r="D826" s="1552" t="s">
        <v>5534</v>
      </c>
      <c r="E826" s="1545"/>
      <c r="F826" s="1545"/>
      <c r="G826" s="1459"/>
      <c r="H826" s="1557"/>
      <c r="J826" s="1548"/>
      <c r="K826" s="1591"/>
    </row>
    <row r="827" spans="1:11" s="1541" customFormat="1">
      <c r="A827" s="1518"/>
      <c r="B827" s="1518"/>
      <c r="C827" s="1522"/>
      <c r="D827" s="1552"/>
      <c r="E827" s="1545"/>
      <c r="F827" s="1545"/>
      <c r="G827" s="1459"/>
      <c r="H827" s="1557"/>
      <c r="J827" s="1548"/>
      <c r="K827" s="1591"/>
    </row>
    <row r="828" spans="1:11" s="1541" customFormat="1" ht="63.75">
      <c r="A828" s="1518" t="s">
        <v>5492</v>
      </c>
      <c r="B828" s="1518" t="s">
        <v>978</v>
      </c>
      <c r="C828" s="1522" t="s">
        <v>5554</v>
      </c>
      <c r="D828" s="1552" t="s">
        <v>4928</v>
      </c>
      <c r="E828" s="1545"/>
      <c r="F828" s="1545"/>
      <c r="G828" s="1459"/>
      <c r="H828" s="1557"/>
      <c r="J828" s="1548"/>
      <c r="K828" s="1591"/>
    </row>
    <row r="829" spans="1:11" s="1541" customFormat="1">
      <c r="A829" s="1518"/>
      <c r="B829" s="1518"/>
      <c r="C829" s="1522"/>
      <c r="D829" s="1552"/>
      <c r="E829" s="1545"/>
      <c r="F829" s="1545"/>
      <c r="G829" s="1459"/>
      <c r="H829" s="1557"/>
      <c r="J829" s="1548"/>
      <c r="K829" s="1591"/>
    </row>
    <row r="830" spans="1:11" s="1541" customFormat="1">
      <c r="A830" s="1518"/>
      <c r="B830" s="1518"/>
      <c r="C830" s="1522"/>
      <c r="D830" s="1552" t="s">
        <v>4929</v>
      </c>
      <c r="E830" s="1545"/>
      <c r="F830" s="1545"/>
      <c r="G830" s="1459"/>
      <c r="H830" s="1557"/>
      <c r="J830" s="1548"/>
      <c r="K830" s="1591"/>
    </row>
    <row r="831" spans="1:11" s="1541" customFormat="1">
      <c r="A831" s="1518"/>
      <c r="B831" s="1518"/>
      <c r="C831" s="1522"/>
      <c r="D831" s="1552" t="s">
        <v>4930</v>
      </c>
      <c r="E831" s="1545"/>
      <c r="F831" s="1545"/>
      <c r="G831" s="1459"/>
      <c r="H831" s="1557"/>
      <c r="J831" s="1548"/>
      <c r="K831" s="1591"/>
    </row>
    <row r="832" spans="1:11" s="1541" customFormat="1">
      <c r="A832" s="1518"/>
      <c r="B832" s="1518"/>
      <c r="C832" s="1522"/>
      <c r="D832" s="1552" t="s">
        <v>4917</v>
      </c>
      <c r="E832" s="1545"/>
      <c r="F832" s="1545"/>
      <c r="G832" s="1459"/>
      <c r="H832" s="1557"/>
      <c r="J832" s="1548"/>
      <c r="K832" s="1591"/>
    </row>
    <row r="833" spans="1:11" s="1541" customFormat="1">
      <c r="A833" s="1518"/>
      <c r="B833" s="1518"/>
      <c r="C833" s="1522"/>
      <c r="D833" s="1552" t="s">
        <v>4891</v>
      </c>
      <c r="E833" s="1545"/>
      <c r="F833" s="1545"/>
      <c r="G833" s="1459"/>
      <c r="H833" s="1557"/>
      <c r="J833" s="1548"/>
      <c r="K833" s="1591"/>
    </row>
    <row r="834" spans="1:11" s="1541" customFormat="1">
      <c r="A834" s="1518"/>
      <c r="B834" s="1518"/>
      <c r="C834" s="1522"/>
      <c r="D834" s="1552" t="s">
        <v>4931</v>
      </c>
      <c r="E834" s="1545"/>
      <c r="F834" s="1545"/>
      <c r="G834" s="1459"/>
      <c r="H834" s="1557"/>
      <c r="J834" s="1548"/>
      <c r="K834" s="1591"/>
    </row>
    <row r="835" spans="1:11" s="1541" customFormat="1">
      <c r="A835" s="1518"/>
      <c r="B835" s="1518"/>
      <c r="C835" s="1522"/>
      <c r="D835" s="1552" t="s">
        <v>4892</v>
      </c>
      <c r="E835" s="1545"/>
      <c r="F835" s="1545"/>
      <c r="G835" s="1459"/>
      <c r="H835" s="1557"/>
      <c r="J835" s="1548"/>
      <c r="K835" s="1591"/>
    </row>
    <row r="836" spans="1:11" s="1541" customFormat="1">
      <c r="A836" s="1518"/>
      <c r="B836" s="1518"/>
      <c r="C836" s="1522"/>
      <c r="D836" s="1552" t="s">
        <v>4893</v>
      </c>
      <c r="E836" s="1545"/>
      <c r="F836" s="1545"/>
      <c r="G836" s="1459"/>
      <c r="H836" s="1557"/>
      <c r="J836" s="1548"/>
      <c r="K836" s="1591"/>
    </row>
    <row r="837" spans="1:11" s="1541" customFormat="1">
      <c r="A837" s="1518"/>
      <c r="B837" s="1518"/>
      <c r="C837" s="1522"/>
      <c r="D837" s="1552" t="s">
        <v>4932</v>
      </c>
      <c r="E837" s="1545"/>
      <c r="F837" s="1545"/>
      <c r="G837" s="1459"/>
      <c r="H837" s="1557"/>
      <c r="J837" s="1548"/>
      <c r="K837" s="1591"/>
    </row>
    <row r="838" spans="1:11" s="1541" customFormat="1">
      <c r="A838" s="1518"/>
      <c r="B838" s="1518"/>
      <c r="C838" s="1522"/>
      <c r="D838" s="1552"/>
      <c r="E838" s="1545"/>
      <c r="F838" s="1545"/>
      <c r="G838" s="1459"/>
      <c r="H838" s="1557"/>
      <c r="J838" s="1548"/>
      <c r="K838" s="1591"/>
    </row>
    <row r="839" spans="1:11" s="1541" customFormat="1">
      <c r="A839" s="1518"/>
      <c r="B839" s="1518"/>
      <c r="C839" s="1522"/>
      <c r="D839" s="1552" t="s">
        <v>5533</v>
      </c>
      <c r="E839" s="1545" t="s">
        <v>34</v>
      </c>
      <c r="F839" s="1545">
        <v>1</v>
      </c>
      <c r="G839" s="1459"/>
      <c r="H839" s="1557">
        <f>SUM(F839*G839)</f>
        <v>0</v>
      </c>
      <c r="J839" s="1548"/>
      <c r="K839" s="1591"/>
    </row>
    <row r="840" spans="1:11" s="1541" customFormat="1">
      <c r="A840" s="1518"/>
      <c r="B840" s="1518"/>
      <c r="C840" s="1522"/>
      <c r="D840" s="1552" t="s">
        <v>5534</v>
      </c>
      <c r="E840" s="1545"/>
      <c r="F840" s="1545"/>
      <c r="G840" s="1459"/>
      <c r="H840" s="1557"/>
      <c r="J840" s="1548"/>
      <c r="K840" s="1591"/>
    </row>
    <row r="841" spans="1:11" s="1541" customFormat="1">
      <c r="A841" s="1518"/>
      <c r="B841" s="1518"/>
      <c r="C841" s="1522"/>
      <c r="D841" s="1552"/>
      <c r="E841" s="1545"/>
      <c r="F841" s="1545"/>
      <c r="G841" s="1459"/>
      <c r="H841" s="1557"/>
      <c r="J841" s="1548"/>
      <c r="K841" s="1591"/>
    </row>
    <row r="842" spans="1:11" s="1541" customFormat="1" ht="63.75">
      <c r="A842" s="1518" t="s">
        <v>5492</v>
      </c>
      <c r="B842" s="1518" t="s">
        <v>978</v>
      </c>
      <c r="C842" s="1522" t="s">
        <v>5555</v>
      </c>
      <c r="D842" s="1552" t="s">
        <v>4933</v>
      </c>
      <c r="E842" s="1545"/>
      <c r="F842" s="1545"/>
      <c r="G842" s="1459"/>
      <c r="H842" s="1557"/>
      <c r="J842" s="1548"/>
      <c r="K842" s="1591"/>
    </row>
    <row r="843" spans="1:11" s="1541" customFormat="1">
      <c r="A843" s="1518"/>
      <c r="B843" s="1518"/>
      <c r="C843" s="1522"/>
      <c r="D843" s="1552"/>
      <c r="E843" s="1545"/>
      <c r="F843" s="1545"/>
      <c r="G843" s="1459"/>
      <c r="H843" s="1557"/>
      <c r="J843" s="1548"/>
      <c r="K843" s="1591"/>
    </row>
    <row r="844" spans="1:11" s="1541" customFormat="1">
      <c r="A844" s="1518"/>
      <c r="B844" s="1518"/>
      <c r="C844" s="1522"/>
      <c r="D844" s="1552" t="s">
        <v>4934</v>
      </c>
      <c r="E844" s="1545"/>
      <c r="F844" s="1545"/>
      <c r="G844" s="1459"/>
      <c r="H844" s="1557"/>
      <c r="J844" s="1548"/>
      <c r="K844" s="1591"/>
    </row>
    <row r="845" spans="1:11" s="1541" customFormat="1">
      <c r="A845" s="1518"/>
      <c r="B845" s="1518"/>
      <c r="C845" s="1522"/>
      <c r="D845" s="1552" t="s">
        <v>4935</v>
      </c>
      <c r="E845" s="1545"/>
      <c r="F845" s="1545"/>
      <c r="G845" s="1459"/>
      <c r="H845" s="1557"/>
      <c r="J845" s="1548"/>
      <c r="K845" s="1591"/>
    </row>
    <row r="846" spans="1:11" s="1541" customFormat="1">
      <c r="A846" s="1518"/>
      <c r="B846" s="1518"/>
      <c r="C846" s="1522"/>
      <c r="D846" s="1552" t="s">
        <v>4936</v>
      </c>
      <c r="E846" s="1545"/>
      <c r="F846" s="1545"/>
      <c r="G846" s="1459"/>
      <c r="H846" s="1557"/>
      <c r="J846" s="1548"/>
      <c r="K846" s="1591"/>
    </row>
    <row r="847" spans="1:11" s="1541" customFormat="1">
      <c r="A847" s="1518"/>
      <c r="B847" s="1518"/>
      <c r="C847" s="1522"/>
      <c r="D847" s="1552" t="s">
        <v>4937</v>
      </c>
      <c r="E847" s="1545"/>
      <c r="F847" s="1545"/>
      <c r="G847" s="1459"/>
      <c r="H847" s="1557"/>
      <c r="J847" s="1548"/>
      <c r="K847" s="1591"/>
    </row>
    <row r="848" spans="1:11" s="1541" customFormat="1">
      <c r="A848" s="1518"/>
      <c r="B848" s="1518"/>
      <c r="C848" s="1522"/>
      <c r="D848" s="1552" t="s">
        <v>4938</v>
      </c>
      <c r="E848" s="1545"/>
      <c r="F848" s="1545"/>
      <c r="G848" s="1459"/>
      <c r="H848" s="1557"/>
      <c r="J848" s="1548"/>
      <c r="K848" s="1591"/>
    </row>
    <row r="849" spans="1:11" s="1541" customFormat="1">
      <c r="A849" s="1518"/>
      <c r="B849" s="1518"/>
      <c r="C849" s="1522"/>
      <c r="D849" s="1552" t="s">
        <v>4917</v>
      </c>
      <c r="E849" s="1545"/>
      <c r="F849" s="1545"/>
      <c r="G849" s="1459"/>
      <c r="H849" s="1557"/>
      <c r="J849" s="1548"/>
      <c r="K849" s="1591"/>
    </row>
    <row r="850" spans="1:11" s="1541" customFormat="1" ht="25.5">
      <c r="A850" s="1518"/>
      <c r="B850" s="1518"/>
      <c r="C850" s="1522"/>
      <c r="D850" s="1552" t="s">
        <v>4939</v>
      </c>
      <c r="E850" s="1545"/>
      <c r="F850" s="1545"/>
      <c r="G850" s="1459"/>
      <c r="H850" s="1557"/>
      <c r="J850" s="1548"/>
      <c r="K850" s="1591"/>
    </row>
    <row r="851" spans="1:11" s="1541" customFormat="1">
      <c r="A851" s="1518"/>
      <c r="B851" s="1518"/>
      <c r="C851" s="1522"/>
      <c r="D851" s="1552" t="s">
        <v>4891</v>
      </c>
      <c r="E851" s="1545"/>
      <c r="F851" s="1545"/>
      <c r="G851" s="1459"/>
      <c r="H851" s="1557"/>
      <c r="J851" s="1548"/>
      <c r="K851" s="1591"/>
    </row>
    <row r="852" spans="1:11" s="1541" customFormat="1">
      <c r="A852" s="1518"/>
      <c r="B852" s="1518"/>
      <c r="C852" s="1522"/>
      <c r="D852" s="1552" t="s">
        <v>4892</v>
      </c>
      <c r="E852" s="1545"/>
      <c r="F852" s="1545"/>
      <c r="G852" s="1459"/>
      <c r="H852" s="1557"/>
      <c r="J852" s="1548"/>
      <c r="K852" s="1591"/>
    </row>
    <row r="853" spans="1:11" s="1541" customFormat="1">
      <c r="A853" s="1518"/>
      <c r="B853" s="1518"/>
      <c r="C853" s="1522"/>
      <c r="D853" s="1552" t="s">
        <v>4894</v>
      </c>
      <c r="E853" s="1545"/>
      <c r="F853" s="1545"/>
      <c r="G853" s="1459"/>
      <c r="H853" s="1557"/>
      <c r="J853" s="1548"/>
      <c r="K853" s="1591"/>
    </row>
    <row r="854" spans="1:11" s="1541" customFormat="1">
      <c r="A854" s="1518"/>
      <c r="B854" s="1518"/>
      <c r="C854" s="1522"/>
      <c r="D854" s="1552"/>
      <c r="E854" s="1545"/>
      <c r="F854" s="1545"/>
      <c r="G854" s="1459"/>
      <c r="H854" s="1557"/>
      <c r="J854" s="1548"/>
      <c r="K854" s="1591"/>
    </row>
    <row r="855" spans="1:11" s="1541" customFormat="1">
      <c r="A855" s="1518"/>
      <c r="B855" s="1518"/>
      <c r="C855" s="1522"/>
      <c r="D855" s="1552" t="s">
        <v>5533</v>
      </c>
      <c r="E855" s="1545" t="s">
        <v>34</v>
      </c>
      <c r="F855" s="1545">
        <v>7</v>
      </c>
      <c r="G855" s="1459"/>
      <c r="H855" s="1557">
        <f>SUM(F855*G855)</f>
        <v>0</v>
      </c>
      <c r="J855" s="1548"/>
      <c r="K855" s="1591"/>
    </row>
    <row r="856" spans="1:11" s="1541" customFormat="1">
      <c r="A856" s="1518"/>
      <c r="B856" s="1518"/>
      <c r="C856" s="1522"/>
      <c r="D856" s="1552" t="s">
        <v>5534</v>
      </c>
      <c r="E856" s="1545"/>
      <c r="F856" s="1545"/>
      <c r="G856" s="1459"/>
      <c r="H856" s="1557"/>
      <c r="J856" s="1548"/>
      <c r="K856" s="1591"/>
    </row>
    <row r="857" spans="1:11" s="1541" customFormat="1">
      <c r="A857" s="1518"/>
      <c r="B857" s="1518"/>
      <c r="C857" s="1522"/>
      <c r="D857" s="1552"/>
      <c r="E857" s="1545"/>
      <c r="F857" s="1545"/>
      <c r="G857" s="1459"/>
      <c r="H857" s="1557"/>
      <c r="J857" s="1548"/>
      <c r="K857" s="1591"/>
    </row>
    <row r="858" spans="1:11" s="1541" customFormat="1" ht="51">
      <c r="A858" s="1518" t="s">
        <v>5492</v>
      </c>
      <c r="B858" s="1518" t="s">
        <v>978</v>
      </c>
      <c r="C858" s="1522" t="s">
        <v>5556</v>
      </c>
      <c r="D858" s="1552" t="s">
        <v>4940</v>
      </c>
      <c r="E858" s="1545"/>
      <c r="F858" s="1545"/>
      <c r="G858" s="1459"/>
      <c r="H858" s="1557"/>
      <c r="J858" s="1548"/>
      <c r="K858" s="1591"/>
    </row>
    <row r="859" spans="1:11" s="1541" customFormat="1">
      <c r="A859" s="1518"/>
      <c r="B859" s="1518"/>
      <c r="C859" s="1522"/>
      <c r="D859" s="1552"/>
      <c r="E859" s="1545"/>
      <c r="F859" s="1545"/>
      <c r="G859" s="1459"/>
      <c r="H859" s="1557"/>
      <c r="J859" s="1548"/>
      <c r="K859" s="1591"/>
    </row>
    <row r="860" spans="1:11" s="1541" customFormat="1">
      <c r="A860" s="1518"/>
      <c r="B860" s="1518"/>
      <c r="C860" s="1522"/>
      <c r="D860" s="1552" t="s">
        <v>4941</v>
      </c>
      <c r="E860" s="1545"/>
      <c r="F860" s="1545"/>
      <c r="G860" s="1459"/>
      <c r="H860" s="1557"/>
      <c r="J860" s="1548"/>
      <c r="K860" s="1591"/>
    </row>
    <row r="861" spans="1:11" s="1541" customFormat="1">
      <c r="A861" s="1518"/>
      <c r="B861" s="1518"/>
      <c r="C861" s="1522"/>
      <c r="D861" s="1552" t="s">
        <v>4942</v>
      </c>
      <c r="E861" s="1545"/>
      <c r="F861" s="1545"/>
      <c r="G861" s="1459"/>
      <c r="H861" s="1557"/>
      <c r="J861" s="1548"/>
      <c r="K861" s="1591"/>
    </row>
    <row r="862" spans="1:11" s="1541" customFormat="1">
      <c r="A862" s="1518"/>
      <c r="B862" s="1518"/>
      <c r="C862" s="1522"/>
      <c r="D862" s="1552" t="s">
        <v>4943</v>
      </c>
      <c r="E862" s="1545"/>
      <c r="F862" s="1545"/>
      <c r="G862" s="1459"/>
      <c r="H862" s="1557"/>
      <c r="J862" s="1548"/>
      <c r="K862" s="1591"/>
    </row>
    <row r="863" spans="1:11" s="1541" customFormat="1">
      <c r="A863" s="1518"/>
      <c r="B863" s="1518"/>
      <c r="C863" s="1522"/>
      <c r="D863" s="1552" t="s">
        <v>4886</v>
      </c>
      <c r="E863" s="1545"/>
      <c r="F863" s="1545"/>
      <c r="G863" s="1459"/>
      <c r="H863" s="1557"/>
      <c r="J863" s="1548"/>
      <c r="K863" s="1591"/>
    </row>
    <row r="864" spans="1:11" s="1541" customFormat="1">
      <c r="A864" s="1518"/>
      <c r="B864" s="1518"/>
      <c r="C864" s="1522"/>
      <c r="D864" s="1552" t="s">
        <v>4944</v>
      </c>
      <c r="E864" s="1545"/>
      <c r="F864" s="1545"/>
      <c r="G864" s="1459"/>
      <c r="H864" s="1557"/>
      <c r="J864" s="1548"/>
      <c r="K864" s="1591"/>
    </row>
    <row r="865" spans="1:11" s="1541" customFormat="1">
      <c r="A865" s="1518"/>
      <c r="B865" s="1518"/>
      <c r="C865" s="1522"/>
      <c r="D865" s="1552" t="s">
        <v>4945</v>
      </c>
      <c r="E865" s="1545"/>
      <c r="F865" s="1545"/>
      <c r="G865" s="1459"/>
      <c r="H865" s="1557"/>
      <c r="J865" s="1548"/>
      <c r="K865" s="1591"/>
    </row>
    <row r="866" spans="1:11" s="1541" customFormat="1">
      <c r="A866" s="1518"/>
      <c r="B866" s="1518"/>
      <c r="C866" s="1522"/>
      <c r="D866" s="1552" t="s">
        <v>4946</v>
      </c>
      <c r="E866" s="1545"/>
      <c r="F866" s="1545"/>
      <c r="G866" s="1459"/>
      <c r="H866" s="1557"/>
      <c r="J866" s="1548"/>
      <c r="K866" s="1591"/>
    </row>
    <row r="867" spans="1:11" s="1541" customFormat="1">
      <c r="A867" s="1518"/>
      <c r="B867" s="1518"/>
      <c r="C867" s="1522"/>
      <c r="D867" s="1552" t="s">
        <v>4947</v>
      </c>
      <c r="E867" s="1545"/>
      <c r="F867" s="1545"/>
      <c r="G867" s="1459"/>
      <c r="H867" s="1557"/>
      <c r="J867" s="1548"/>
      <c r="K867" s="1591"/>
    </row>
    <row r="868" spans="1:11" s="1541" customFormat="1">
      <c r="A868" s="1518"/>
      <c r="B868" s="1518"/>
      <c r="C868" s="1522"/>
      <c r="D868" s="1552" t="s">
        <v>4917</v>
      </c>
      <c r="E868" s="1545"/>
      <c r="F868" s="1545"/>
      <c r="G868" s="1459"/>
      <c r="H868" s="1557"/>
      <c r="J868" s="1548"/>
      <c r="K868" s="1591"/>
    </row>
    <row r="869" spans="1:11" s="1541" customFormat="1">
      <c r="A869" s="1518"/>
      <c r="B869" s="1518"/>
      <c r="C869" s="1522"/>
      <c r="D869" s="1552" t="s">
        <v>4891</v>
      </c>
      <c r="E869" s="1545"/>
      <c r="F869" s="1545"/>
      <c r="G869" s="1459"/>
      <c r="H869" s="1557"/>
      <c r="J869" s="1548"/>
      <c r="K869" s="1591"/>
    </row>
    <row r="870" spans="1:11" s="1541" customFormat="1">
      <c r="A870" s="1518"/>
      <c r="B870" s="1518"/>
      <c r="C870" s="1522"/>
      <c r="D870" s="1552" t="s">
        <v>4892</v>
      </c>
      <c r="E870" s="1545"/>
      <c r="F870" s="1545"/>
      <c r="G870" s="1459"/>
      <c r="H870" s="1557"/>
      <c r="J870" s="1548"/>
      <c r="K870" s="1591"/>
    </row>
    <row r="871" spans="1:11" s="1541" customFormat="1">
      <c r="A871" s="1518"/>
      <c r="B871" s="1518"/>
      <c r="C871" s="1522"/>
      <c r="D871" s="1552" t="s">
        <v>4893</v>
      </c>
      <c r="E871" s="1545"/>
      <c r="F871" s="1545"/>
      <c r="G871" s="1459"/>
      <c r="H871" s="1557"/>
      <c r="J871" s="1548"/>
      <c r="K871" s="1591"/>
    </row>
    <row r="872" spans="1:11" s="1541" customFormat="1">
      <c r="A872" s="1518"/>
      <c r="B872" s="1518"/>
      <c r="C872" s="1522"/>
      <c r="D872" s="1552" t="s">
        <v>4894</v>
      </c>
      <c r="E872" s="1545"/>
      <c r="F872" s="1545"/>
      <c r="G872" s="1459"/>
      <c r="H872" s="1557"/>
      <c r="J872" s="1548"/>
      <c r="K872" s="1591"/>
    </row>
    <row r="873" spans="1:11" s="1541" customFormat="1">
      <c r="A873" s="1518"/>
      <c r="B873" s="1518"/>
      <c r="C873" s="1522"/>
      <c r="D873" s="1552"/>
      <c r="E873" s="1545"/>
      <c r="F873" s="1545"/>
      <c r="G873" s="1459"/>
      <c r="H873" s="1557"/>
      <c r="J873" s="1548"/>
      <c r="K873" s="1591"/>
    </row>
    <row r="874" spans="1:11" s="1541" customFormat="1">
      <c r="A874" s="1518"/>
      <c r="B874" s="1518"/>
      <c r="C874" s="1522"/>
      <c r="D874" s="1552" t="s">
        <v>5533</v>
      </c>
      <c r="E874" s="1545" t="s">
        <v>34</v>
      </c>
      <c r="F874" s="1545">
        <v>3</v>
      </c>
      <c r="G874" s="1459"/>
      <c r="H874" s="1557">
        <f>SUM(F874*G874)</f>
        <v>0</v>
      </c>
      <c r="J874" s="1548"/>
      <c r="K874" s="1591"/>
    </row>
    <row r="875" spans="1:11" s="1541" customFormat="1">
      <c r="A875" s="1518"/>
      <c r="B875" s="1518"/>
      <c r="C875" s="1522"/>
      <c r="D875" s="1552" t="s">
        <v>5534</v>
      </c>
      <c r="E875" s="1545"/>
      <c r="F875" s="1545"/>
      <c r="G875" s="1459"/>
      <c r="H875" s="1557"/>
      <c r="J875" s="1548"/>
      <c r="K875" s="1591"/>
    </row>
    <row r="876" spans="1:11" s="1541" customFormat="1">
      <c r="A876" s="1518"/>
      <c r="B876" s="1518"/>
      <c r="C876" s="1522"/>
      <c r="D876" s="1552"/>
      <c r="E876" s="1545"/>
      <c r="F876" s="1545"/>
      <c r="G876" s="1459"/>
      <c r="H876" s="1557"/>
      <c r="J876" s="1548"/>
      <c r="K876" s="1591"/>
    </row>
    <row r="877" spans="1:11" s="1541" customFormat="1" ht="63.75">
      <c r="A877" s="1518" t="s">
        <v>5492</v>
      </c>
      <c r="B877" s="1518" t="s">
        <v>978</v>
      </c>
      <c r="C877" s="1522" t="s">
        <v>5557</v>
      </c>
      <c r="D877" s="1552" t="s">
        <v>4948</v>
      </c>
      <c r="E877" s="1545"/>
      <c r="F877" s="1545"/>
      <c r="G877" s="1459"/>
      <c r="H877" s="1557"/>
      <c r="J877" s="1548"/>
      <c r="K877" s="1591"/>
    </row>
    <row r="878" spans="1:11" s="1541" customFormat="1">
      <c r="A878" s="1518"/>
      <c r="B878" s="1518"/>
      <c r="C878" s="1522"/>
      <c r="D878" s="1552"/>
      <c r="E878" s="1545"/>
      <c r="F878" s="1545"/>
      <c r="G878" s="1459"/>
      <c r="H878" s="1557"/>
      <c r="J878" s="1548"/>
      <c r="K878" s="1591"/>
    </row>
    <row r="879" spans="1:11" s="1541" customFormat="1">
      <c r="A879" s="1518"/>
      <c r="B879" s="1518"/>
      <c r="C879" s="1522"/>
      <c r="D879" s="1552" t="s">
        <v>4949</v>
      </c>
      <c r="E879" s="1545"/>
      <c r="F879" s="1545"/>
      <c r="G879" s="1459"/>
      <c r="H879" s="1557"/>
      <c r="J879" s="1548"/>
      <c r="K879" s="1591"/>
    </row>
    <row r="880" spans="1:11" s="1541" customFormat="1">
      <c r="A880" s="1518"/>
      <c r="B880" s="1518"/>
      <c r="C880" s="1522"/>
      <c r="D880" s="1552" t="s">
        <v>4950</v>
      </c>
      <c r="E880" s="1545"/>
      <c r="F880" s="1545"/>
      <c r="G880" s="1459"/>
      <c r="H880" s="1557"/>
      <c r="J880" s="1548"/>
      <c r="K880" s="1591"/>
    </row>
    <row r="881" spans="1:11" s="1541" customFormat="1">
      <c r="A881" s="1518"/>
      <c r="B881" s="1518"/>
      <c r="C881" s="1522"/>
      <c r="D881" s="1552" t="s">
        <v>4951</v>
      </c>
      <c r="E881" s="1545"/>
      <c r="F881" s="1545"/>
      <c r="G881" s="1459"/>
      <c r="H881" s="1557"/>
      <c r="J881" s="1548"/>
      <c r="K881" s="1591"/>
    </row>
    <row r="882" spans="1:11" s="1541" customFormat="1">
      <c r="A882" s="1518"/>
      <c r="B882" s="1518"/>
      <c r="C882" s="1522"/>
      <c r="D882" s="1552" t="s">
        <v>4952</v>
      </c>
      <c r="E882" s="1545"/>
      <c r="F882" s="1545"/>
      <c r="G882" s="1459"/>
      <c r="H882" s="1557"/>
      <c r="J882" s="1548"/>
      <c r="K882" s="1591"/>
    </row>
    <row r="883" spans="1:11" s="1541" customFormat="1">
      <c r="A883" s="1518"/>
      <c r="B883" s="1518"/>
      <c r="C883" s="1522"/>
      <c r="D883" s="1552" t="s">
        <v>4953</v>
      </c>
      <c r="E883" s="1545"/>
      <c r="F883" s="1545"/>
      <c r="G883" s="1459"/>
      <c r="H883" s="1557"/>
      <c r="J883" s="1548"/>
      <c r="K883" s="1591"/>
    </row>
    <row r="884" spans="1:11" s="1541" customFormat="1">
      <c r="A884" s="1518"/>
      <c r="B884" s="1518"/>
      <c r="C884" s="1522"/>
      <c r="D884" s="1552" t="s">
        <v>4954</v>
      </c>
      <c r="E884" s="1545"/>
      <c r="F884" s="1545"/>
      <c r="G884" s="1459"/>
      <c r="H884" s="1557"/>
      <c r="J884" s="1548"/>
      <c r="K884" s="1591"/>
    </row>
    <row r="885" spans="1:11" s="1541" customFormat="1">
      <c r="A885" s="1518"/>
      <c r="B885" s="1518"/>
      <c r="C885" s="1522"/>
      <c r="D885" s="1552" t="s">
        <v>4955</v>
      </c>
      <c r="E885" s="1545"/>
      <c r="F885" s="1545"/>
      <c r="G885" s="1459"/>
      <c r="H885" s="1557"/>
      <c r="J885" s="1548"/>
      <c r="K885" s="1591"/>
    </row>
    <row r="886" spans="1:11" s="1541" customFormat="1">
      <c r="A886" s="1518"/>
      <c r="B886" s="1518"/>
      <c r="C886" s="1522"/>
      <c r="D886" s="1552" t="s">
        <v>4956</v>
      </c>
      <c r="E886" s="1545"/>
      <c r="F886" s="1545"/>
      <c r="G886" s="1459"/>
      <c r="H886" s="1557"/>
      <c r="J886" s="1548"/>
      <c r="K886" s="1591"/>
    </row>
    <row r="887" spans="1:11" s="1541" customFormat="1">
      <c r="A887" s="1518"/>
      <c r="B887" s="1518"/>
      <c r="C887" s="1522"/>
      <c r="D887" s="1552" t="s">
        <v>4957</v>
      </c>
      <c r="E887" s="1545"/>
      <c r="F887" s="1545"/>
      <c r="G887" s="1459"/>
      <c r="H887" s="1557"/>
      <c r="J887" s="1548"/>
      <c r="K887" s="1591"/>
    </row>
    <row r="888" spans="1:11" s="1541" customFormat="1">
      <c r="A888" s="1518"/>
      <c r="B888" s="1518"/>
      <c r="C888" s="1522"/>
      <c r="D888" s="1552" t="s">
        <v>4892</v>
      </c>
      <c r="E888" s="1545"/>
      <c r="F888" s="1545"/>
      <c r="G888" s="1459"/>
      <c r="H888" s="1557"/>
      <c r="J888" s="1548"/>
      <c r="K888" s="1591"/>
    </row>
    <row r="889" spans="1:11" s="1541" customFormat="1">
      <c r="A889" s="1518"/>
      <c r="B889" s="1518"/>
      <c r="C889" s="1522"/>
      <c r="D889" s="1552" t="s">
        <v>4932</v>
      </c>
      <c r="E889" s="1545"/>
      <c r="F889" s="1545"/>
      <c r="G889" s="1459"/>
      <c r="H889" s="1557"/>
      <c r="J889" s="1548"/>
      <c r="K889" s="1591"/>
    </row>
    <row r="890" spans="1:11" s="1541" customFormat="1">
      <c r="A890" s="1518"/>
      <c r="B890" s="1518"/>
      <c r="C890" s="1522"/>
      <c r="D890" s="1552"/>
      <c r="E890" s="1545"/>
      <c r="F890" s="1545"/>
      <c r="G890" s="1459"/>
      <c r="H890" s="1557"/>
      <c r="J890" s="1548"/>
      <c r="K890" s="1591"/>
    </row>
    <row r="891" spans="1:11" s="1541" customFormat="1">
      <c r="A891" s="1518"/>
      <c r="B891" s="1518"/>
      <c r="C891" s="1522"/>
      <c r="D891" s="1552" t="s">
        <v>5533</v>
      </c>
      <c r="E891" s="1545" t="s">
        <v>34</v>
      </c>
      <c r="F891" s="1545">
        <v>5</v>
      </c>
      <c r="G891" s="1459"/>
      <c r="H891" s="1557">
        <f>SUM(F891*G891)</f>
        <v>0</v>
      </c>
      <c r="J891" s="1548"/>
      <c r="K891" s="1591"/>
    </row>
    <row r="892" spans="1:11" s="1541" customFormat="1">
      <c r="A892" s="1518"/>
      <c r="B892" s="1518"/>
      <c r="C892" s="1522"/>
      <c r="D892" s="1552" t="s">
        <v>5534</v>
      </c>
      <c r="E892" s="1545"/>
      <c r="F892" s="1545"/>
      <c r="G892" s="1459"/>
      <c r="H892" s="1557"/>
      <c r="J892" s="1548"/>
      <c r="K892" s="1591"/>
    </row>
    <row r="893" spans="1:11" s="1541" customFormat="1">
      <c r="A893" s="1518"/>
      <c r="B893" s="1518"/>
      <c r="C893" s="1522"/>
      <c r="D893" s="1552"/>
      <c r="E893" s="1545"/>
      <c r="F893" s="1545"/>
      <c r="G893" s="1459"/>
      <c r="H893" s="1557"/>
      <c r="J893" s="1548"/>
      <c r="K893" s="1591"/>
    </row>
    <row r="894" spans="1:11" s="1541" customFormat="1" ht="25.5">
      <c r="A894" s="1518" t="s">
        <v>5492</v>
      </c>
      <c r="B894" s="1518" t="s">
        <v>978</v>
      </c>
      <c r="C894" s="1522" t="s">
        <v>5558</v>
      </c>
      <c r="D894" s="1552" t="s">
        <v>5536</v>
      </c>
      <c r="E894" s="1545"/>
      <c r="F894" s="1545"/>
      <c r="G894" s="1459"/>
      <c r="H894" s="1557"/>
      <c r="J894" s="1548"/>
      <c r="K894" s="1591"/>
    </row>
    <row r="895" spans="1:11" s="1541" customFormat="1">
      <c r="A895" s="1518"/>
      <c r="B895" s="1518"/>
      <c r="C895" s="1522"/>
      <c r="D895" s="1552"/>
      <c r="E895" s="1545"/>
      <c r="F895" s="1545"/>
      <c r="G895" s="1459"/>
      <c r="H895" s="1557"/>
      <c r="J895" s="1548"/>
      <c r="K895" s="1591"/>
    </row>
    <row r="896" spans="1:11" s="1541" customFormat="1">
      <c r="A896" s="1518"/>
      <c r="B896" s="1518"/>
      <c r="C896" s="1522"/>
      <c r="D896" s="1552" t="s">
        <v>5537</v>
      </c>
      <c r="E896" s="1545"/>
      <c r="F896" s="1545"/>
      <c r="G896" s="1459"/>
      <c r="H896" s="1557"/>
      <c r="J896" s="1548"/>
      <c r="K896" s="1591"/>
    </row>
    <row r="897" spans="1:11" s="1541" customFormat="1">
      <c r="A897" s="1518"/>
      <c r="B897" s="1518"/>
      <c r="C897" s="1522"/>
      <c r="D897" s="1552"/>
      <c r="E897" s="1545"/>
      <c r="F897" s="1545"/>
      <c r="G897" s="1459"/>
      <c r="H897" s="1557"/>
      <c r="J897" s="1548"/>
      <c r="K897" s="1591"/>
    </row>
    <row r="898" spans="1:11" s="1541" customFormat="1">
      <c r="A898" s="1518"/>
      <c r="B898" s="1518"/>
      <c r="C898" s="1522"/>
      <c r="D898" s="1552" t="s">
        <v>5533</v>
      </c>
      <c r="E898" s="1545" t="s">
        <v>34</v>
      </c>
      <c r="F898" s="1545">
        <v>5</v>
      </c>
      <c r="G898" s="1459"/>
      <c r="H898" s="1557">
        <f>SUM(F898*G898)</f>
        <v>0</v>
      </c>
      <c r="J898" s="1548"/>
      <c r="K898" s="1591"/>
    </row>
    <row r="899" spans="1:11" s="1541" customFormat="1">
      <c r="A899" s="1518"/>
      <c r="B899" s="1518"/>
      <c r="C899" s="1522"/>
      <c r="D899" s="1552" t="s">
        <v>5534</v>
      </c>
      <c r="E899" s="1545"/>
      <c r="F899" s="1545"/>
      <c r="G899" s="1459"/>
      <c r="H899" s="1557"/>
      <c r="J899" s="1548"/>
      <c r="K899" s="1591"/>
    </row>
    <row r="900" spans="1:11" s="1541" customFormat="1">
      <c r="A900" s="1518"/>
      <c r="B900" s="1518"/>
      <c r="C900" s="1522"/>
      <c r="D900" s="1552"/>
      <c r="E900" s="1545"/>
      <c r="F900" s="1545"/>
      <c r="G900" s="1459"/>
      <c r="H900" s="1557"/>
      <c r="J900" s="1548"/>
      <c r="K900" s="1591"/>
    </row>
    <row r="901" spans="1:11" s="1541" customFormat="1" ht="51">
      <c r="A901" s="1518" t="s">
        <v>5492</v>
      </c>
      <c r="B901" s="1518" t="s">
        <v>978</v>
      </c>
      <c r="C901" s="1522" t="s">
        <v>5559</v>
      </c>
      <c r="D901" s="1552" t="s">
        <v>4958</v>
      </c>
      <c r="E901" s="1545"/>
      <c r="F901" s="1545"/>
      <c r="G901" s="1459"/>
      <c r="H901" s="1557"/>
      <c r="J901" s="1548"/>
      <c r="K901" s="1591"/>
    </row>
    <row r="902" spans="1:11" s="1541" customFormat="1">
      <c r="A902" s="1518"/>
      <c r="B902" s="1518"/>
      <c r="C902" s="1522"/>
      <c r="D902" s="1552"/>
      <c r="E902" s="1545"/>
      <c r="F902" s="1545"/>
      <c r="G902" s="1459"/>
      <c r="H902" s="1557"/>
      <c r="J902" s="1548"/>
      <c r="K902" s="1591"/>
    </row>
    <row r="903" spans="1:11" s="1541" customFormat="1" ht="25.5">
      <c r="A903" s="1518"/>
      <c r="B903" s="1518"/>
      <c r="C903" s="1522"/>
      <c r="D903" s="1552" t="s">
        <v>4959</v>
      </c>
      <c r="E903" s="1545"/>
      <c r="F903" s="1545"/>
      <c r="G903" s="1459"/>
      <c r="H903" s="1557"/>
      <c r="J903" s="1548"/>
      <c r="K903" s="1591"/>
    </row>
    <row r="904" spans="1:11" s="1541" customFormat="1">
      <c r="A904" s="1518"/>
      <c r="B904" s="1518"/>
      <c r="C904" s="1522"/>
      <c r="D904" s="1552" t="s">
        <v>4960</v>
      </c>
      <c r="E904" s="1545"/>
      <c r="F904" s="1545"/>
      <c r="G904" s="1459"/>
      <c r="H904" s="1557"/>
      <c r="J904" s="1548"/>
      <c r="K904" s="1591"/>
    </row>
    <row r="905" spans="1:11" s="1541" customFormat="1" ht="25.5">
      <c r="A905" s="1518"/>
      <c r="B905" s="1518"/>
      <c r="C905" s="1522"/>
      <c r="D905" s="1552" t="s">
        <v>4961</v>
      </c>
      <c r="E905" s="1545"/>
      <c r="F905" s="1545"/>
      <c r="G905" s="1459"/>
      <c r="H905" s="1557"/>
      <c r="J905" s="1548"/>
      <c r="K905" s="1591"/>
    </row>
    <row r="906" spans="1:11" s="1541" customFormat="1">
      <c r="A906" s="1518"/>
      <c r="B906" s="1518"/>
      <c r="C906" s="1522"/>
      <c r="D906" s="1552" t="s">
        <v>4962</v>
      </c>
      <c r="E906" s="1545"/>
      <c r="F906" s="1545"/>
      <c r="G906" s="1459"/>
      <c r="H906" s="1557"/>
      <c r="J906" s="1548"/>
      <c r="K906" s="1591"/>
    </row>
    <row r="907" spans="1:11" s="1541" customFormat="1">
      <c r="A907" s="1518"/>
      <c r="B907" s="1518"/>
      <c r="C907" s="1522"/>
      <c r="D907" s="1552" t="s">
        <v>4963</v>
      </c>
      <c r="E907" s="1545"/>
      <c r="F907" s="1545"/>
      <c r="G907" s="1459"/>
      <c r="H907" s="1557"/>
      <c r="J907" s="1548"/>
      <c r="K907" s="1591"/>
    </row>
    <row r="908" spans="1:11" s="1541" customFormat="1">
      <c r="A908" s="1518"/>
      <c r="B908" s="1518"/>
      <c r="C908" s="1522"/>
      <c r="D908" s="1552" t="s">
        <v>4964</v>
      </c>
      <c r="E908" s="1545"/>
      <c r="F908" s="1545"/>
      <c r="G908" s="1459"/>
      <c r="H908" s="1557"/>
      <c r="J908" s="1548"/>
      <c r="K908" s="1591"/>
    </row>
    <row r="909" spans="1:11" s="1541" customFormat="1">
      <c r="A909" s="1518"/>
      <c r="B909" s="1518"/>
      <c r="C909" s="1522"/>
      <c r="D909" s="1552" t="s">
        <v>4965</v>
      </c>
      <c r="E909" s="1545"/>
      <c r="F909" s="1545"/>
      <c r="G909" s="1459"/>
      <c r="H909" s="1557"/>
      <c r="J909" s="1548"/>
      <c r="K909" s="1591"/>
    </row>
    <row r="910" spans="1:11" s="1541" customFormat="1">
      <c r="A910" s="1518"/>
      <c r="B910" s="1518"/>
      <c r="C910" s="1522"/>
      <c r="D910" s="1552" t="s">
        <v>4917</v>
      </c>
      <c r="E910" s="1545"/>
      <c r="F910" s="1545"/>
      <c r="G910" s="1459"/>
      <c r="H910" s="1557"/>
      <c r="J910" s="1548"/>
      <c r="K910" s="1591"/>
    </row>
    <row r="911" spans="1:11" s="1541" customFormat="1">
      <c r="A911" s="1518"/>
      <c r="B911" s="1518"/>
      <c r="C911" s="1522"/>
      <c r="D911" s="1552" t="s">
        <v>4966</v>
      </c>
      <c r="E911" s="1545"/>
      <c r="F911" s="1545"/>
      <c r="G911" s="1459"/>
      <c r="H911" s="1557"/>
      <c r="J911" s="1548"/>
      <c r="K911" s="1591"/>
    </row>
    <row r="912" spans="1:11" s="1541" customFormat="1">
      <c r="A912" s="1518"/>
      <c r="B912" s="1518"/>
      <c r="C912" s="1522"/>
      <c r="D912" s="1552" t="s">
        <v>4967</v>
      </c>
      <c r="E912" s="1545"/>
      <c r="F912" s="1545"/>
      <c r="G912" s="1459"/>
      <c r="H912" s="1557"/>
      <c r="J912" s="1548"/>
      <c r="K912" s="1591"/>
    </row>
    <row r="913" spans="1:11" s="1541" customFormat="1" ht="25.5">
      <c r="A913" s="1518"/>
      <c r="B913" s="1518"/>
      <c r="C913" s="1522"/>
      <c r="D913" s="1552" t="s">
        <v>4968</v>
      </c>
      <c r="E913" s="1545"/>
      <c r="F913" s="1545"/>
      <c r="G913" s="1459"/>
      <c r="H913" s="1557"/>
      <c r="J913" s="1548"/>
      <c r="K913" s="1591"/>
    </row>
    <row r="914" spans="1:11" s="1541" customFormat="1">
      <c r="A914" s="1518"/>
      <c r="B914" s="1518"/>
      <c r="C914" s="1522"/>
      <c r="D914" s="1552"/>
      <c r="E914" s="1545"/>
      <c r="F914" s="1545"/>
      <c r="G914" s="1459"/>
      <c r="H914" s="1557"/>
      <c r="J914" s="1548"/>
      <c r="K914" s="1591"/>
    </row>
    <row r="915" spans="1:11" s="1541" customFormat="1">
      <c r="A915" s="1518"/>
      <c r="B915" s="1518"/>
      <c r="C915" s="1522"/>
      <c r="D915" s="1552" t="s">
        <v>5533</v>
      </c>
      <c r="E915" s="1545" t="s">
        <v>34</v>
      </c>
      <c r="F915" s="1545">
        <v>1</v>
      </c>
      <c r="G915" s="1459"/>
      <c r="H915" s="1557">
        <f>SUM(F915*G915)</f>
        <v>0</v>
      </c>
      <c r="J915" s="1548"/>
      <c r="K915" s="1591"/>
    </row>
    <row r="916" spans="1:11" s="1541" customFormat="1">
      <c r="A916" s="1518"/>
      <c r="B916" s="1518"/>
      <c r="C916" s="1522"/>
      <c r="D916" s="1552" t="s">
        <v>5534</v>
      </c>
      <c r="E916" s="1545"/>
      <c r="F916" s="1545"/>
      <c r="G916" s="1459"/>
      <c r="H916" s="1557"/>
      <c r="J916" s="1548"/>
      <c r="K916" s="1591"/>
    </row>
    <row r="917" spans="1:11" s="1541" customFormat="1">
      <c r="A917" s="1518"/>
      <c r="B917" s="1518"/>
      <c r="C917" s="1522"/>
      <c r="D917" s="1552"/>
      <c r="E917" s="1545"/>
      <c r="F917" s="1545"/>
      <c r="G917" s="1459"/>
      <c r="H917" s="1557"/>
      <c r="J917" s="1548"/>
      <c r="K917" s="1591"/>
    </row>
    <row r="918" spans="1:11" s="1541" customFormat="1" ht="76.5">
      <c r="A918" s="1518" t="s">
        <v>5492</v>
      </c>
      <c r="B918" s="1518" t="s">
        <v>978</v>
      </c>
      <c r="C918" s="1522" t="s">
        <v>5560</v>
      </c>
      <c r="D918" s="1552" t="s">
        <v>4969</v>
      </c>
      <c r="E918" s="1545"/>
      <c r="F918" s="1545"/>
      <c r="G918" s="1459"/>
      <c r="H918" s="1557"/>
      <c r="J918" s="1548"/>
      <c r="K918" s="1591"/>
    </row>
    <row r="919" spans="1:11" s="1541" customFormat="1">
      <c r="A919" s="1518"/>
      <c r="B919" s="1518"/>
      <c r="C919" s="1522"/>
      <c r="D919" s="1552"/>
      <c r="E919" s="1545"/>
      <c r="F919" s="1545"/>
      <c r="G919" s="1459"/>
      <c r="H919" s="1557"/>
      <c r="J919" s="1548"/>
      <c r="K919" s="1591"/>
    </row>
    <row r="920" spans="1:11" s="1541" customFormat="1">
      <c r="A920" s="1518"/>
      <c r="B920" s="1518"/>
      <c r="C920" s="1522"/>
      <c r="D920" s="1552" t="s">
        <v>4970</v>
      </c>
      <c r="E920" s="1545"/>
      <c r="F920" s="1545"/>
      <c r="G920" s="1459"/>
      <c r="H920" s="1557"/>
      <c r="J920" s="1548"/>
      <c r="K920" s="1591"/>
    </row>
    <row r="921" spans="1:11" s="1541" customFormat="1">
      <c r="A921" s="1518"/>
      <c r="B921" s="1518"/>
      <c r="C921" s="1522"/>
      <c r="D921" s="1552" t="s">
        <v>4971</v>
      </c>
      <c r="E921" s="1545"/>
      <c r="F921" s="1545"/>
      <c r="G921" s="1459"/>
      <c r="H921" s="1557"/>
      <c r="J921" s="1548"/>
      <c r="K921" s="1591"/>
    </row>
    <row r="922" spans="1:11" s="1541" customFormat="1">
      <c r="A922" s="1518"/>
      <c r="B922" s="1518"/>
      <c r="C922" s="1522"/>
      <c r="D922" s="1552" t="s">
        <v>4972</v>
      </c>
      <c r="E922" s="1545"/>
      <c r="F922" s="1545"/>
      <c r="G922" s="1459"/>
      <c r="H922" s="1557"/>
      <c r="J922" s="1548"/>
      <c r="K922" s="1591"/>
    </row>
    <row r="923" spans="1:11" s="1541" customFormat="1">
      <c r="A923" s="1518"/>
      <c r="B923" s="1518"/>
      <c r="C923" s="1522"/>
      <c r="D923" s="1552" t="s">
        <v>4973</v>
      </c>
      <c r="E923" s="1545"/>
      <c r="F923" s="1545"/>
      <c r="G923" s="1459"/>
      <c r="H923" s="1557"/>
      <c r="J923" s="1548"/>
      <c r="K923" s="1591"/>
    </row>
    <row r="924" spans="1:11" s="1541" customFormat="1">
      <c r="A924" s="1518"/>
      <c r="B924" s="1518"/>
      <c r="C924" s="1522"/>
      <c r="D924" s="1552" t="s">
        <v>4974</v>
      </c>
      <c r="E924" s="1545"/>
      <c r="F924" s="1545"/>
      <c r="G924" s="1459"/>
      <c r="H924" s="1557"/>
      <c r="J924" s="1548"/>
      <c r="K924" s="1591"/>
    </row>
    <row r="925" spans="1:11" s="1541" customFormat="1">
      <c r="A925" s="1518"/>
      <c r="B925" s="1518"/>
      <c r="C925" s="1522"/>
      <c r="D925" s="1552" t="s">
        <v>4975</v>
      </c>
      <c r="E925" s="1545"/>
      <c r="F925" s="1545"/>
      <c r="G925" s="1459"/>
      <c r="H925" s="1557"/>
      <c r="J925" s="1548"/>
      <c r="K925" s="1591"/>
    </row>
    <row r="926" spans="1:11" s="1541" customFormat="1">
      <c r="A926" s="1518"/>
      <c r="B926" s="1518"/>
      <c r="C926" s="1522"/>
      <c r="D926" s="1552" t="s">
        <v>4891</v>
      </c>
      <c r="E926" s="1545"/>
      <c r="F926" s="1545"/>
      <c r="G926" s="1459"/>
      <c r="H926" s="1557"/>
      <c r="J926" s="1548"/>
      <c r="K926" s="1591"/>
    </row>
    <row r="927" spans="1:11" s="1541" customFormat="1">
      <c r="A927" s="1518"/>
      <c r="B927" s="1518"/>
      <c r="C927" s="1522"/>
      <c r="D927" s="1552" t="s">
        <v>4976</v>
      </c>
      <c r="E927" s="1545"/>
      <c r="F927" s="1545"/>
      <c r="G927" s="1459"/>
      <c r="H927" s="1557"/>
      <c r="J927" s="1548"/>
      <c r="K927" s="1591"/>
    </row>
    <row r="928" spans="1:11" s="1541" customFormat="1">
      <c r="A928" s="1518"/>
      <c r="B928" s="1518"/>
      <c r="C928" s="1522"/>
      <c r="D928" s="1552" t="s">
        <v>4893</v>
      </c>
      <c r="E928" s="1545"/>
      <c r="F928" s="1545"/>
      <c r="G928" s="1459"/>
      <c r="H928" s="1557"/>
      <c r="J928" s="1548"/>
      <c r="K928" s="1591"/>
    </row>
    <row r="929" spans="1:11" s="1541" customFormat="1">
      <c r="A929" s="1518"/>
      <c r="B929" s="1518"/>
      <c r="C929" s="1522"/>
      <c r="D929" s="1552" t="s">
        <v>4977</v>
      </c>
      <c r="E929" s="1545"/>
      <c r="F929" s="1545"/>
      <c r="G929" s="1459"/>
      <c r="H929" s="1557"/>
      <c r="J929" s="1548"/>
      <c r="K929" s="1591"/>
    </row>
    <row r="930" spans="1:11" s="1541" customFormat="1">
      <c r="A930" s="1518"/>
      <c r="B930" s="1518"/>
      <c r="C930" s="1522"/>
      <c r="D930" s="1552" t="s">
        <v>4931</v>
      </c>
      <c r="E930" s="1545"/>
      <c r="F930" s="1545"/>
      <c r="G930" s="1459"/>
      <c r="H930" s="1557"/>
      <c r="J930" s="1548"/>
      <c r="K930" s="1591"/>
    </row>
    <row r="931" spans="1:11" s="1541" customFormat="1">
      <c r="A931" s="1518"/>
      <c r="B931" s="1518"/>
      <c r="C931" s="1522"/>
      <c r="D931" s="1552"/>
      <c r="E931" s="1545"/>
      <c r="F931" s="1545"/>
      <c r="G931" s="1459"/>
      <c r="H931" s="1557"/>
      <c r="J931" s="1548"/>
      <c r="K931" s="1591"/>
    </row>
    <row r="932" spans="1:11" s="1541" customFormat="1">
      <c r="A932" s="1518"/>
      <c r="B932" s="1518"/>
      <c r="C932" s="1522"/>
      <c r="D932" s="1552" t="s">
        <v>5533</v>
      </c>
      <c r="E932" s="1545" t="s">
        <v>34</v>
      </c>
      <c r="F932" s="1545">
        <v>46</v>
      </c>
      <c r="G932" s="1459"/>
      <c r="H932" s="1557">
        <f>SUM(F932*G932)</f>
        <v>0</v>
      </c>
      <c r="J932" s="1548"/>
      <c r="K932" s="1591"/>
    </row>
    <row r="933" spans="1:11" s="1541" customFormat="1">
      <c r="A933" s="1518"/>
      <c r="B933" s="1518"/>
      <c r="C933" s="1522"/>
      <c r="D933" s="1552" t="s">
        <v>5534</v>
      </c>
      <c r="E933" s="1545"/>
      <c r="F933" s="1545"/>
      <c r="G933" s="1459"/>
      <c r="H933" s="1557"/>
      <c r="J933" s="1548"/>
      <c r="K933" s="1591"/>
    </row>
    <row r="934" spans="1:11" s="1541" customFormat="1">
      <c r="A934" s="1518"/>
      <c r="B934" s="1518"/>
      <c r="C934" s="1522"/>
      <c r="D934" s="1552"/>
      <c r="E934" s="1545"/>
      <c r="F934" s="1545"/>
      <c r="G934" s="1459"/>
      <c r="H934" s="1557"/>
      <c r="J934" s="1548"/>
      <c r="K934" s="1591"/>
    </row>
    <row r="935" spans="1:11" s="1541" customFormat="1" ht="63.75">
      <c r="A935" s="1518" t="s">
        <v>5492</v>
      </c>
      <c r="B935" s="1518" t="s">
        <v>978</v>
      </c>
      <c r="C935" s="1522" t="s">
        <v>5561</v>
      </c>
      <c r="D935" s="1552" t="s">
        <v>4978</v>
      </c>
      <c r="E935" s="1545"/>
      <c r="F935" s="1545"/>
      <c r="G935" s="1459"/>
      <c r="H935" s="1557"/>
      <c r="J935" s="1548"/>
      <c r="K935" s="1591"/>
    </row>
    <row r="936" spans="1:11" s="1541" customFormat="1">
      <c r="A936" s="1518"/>
      <c r="B936" s="1518"/>
      <c r="C936" s="1522"/>
      <c r="D936" s="1552"/>
      <c r="E936" s="1545"/>
      <c r="F936" s="1545"/>
      <c r="G936" s="1459"/>
      <c r="H936" s="1557"/>
      <c r="J936" s="1548"/>
      <c r="K936" s="1591"/>
    </row>
    <row r="937" spans="1:11" s="1541" customFormat="1">
      <c r="A937" s="1518"/>
      <c r="B937" s="1518"/>
      <c r="C937" s="1522"/>
      <c r="D937" s="1552" t="s">
        <v>4979</v>
      </c>
      <c r="E937" s="1545"/>
      <c r="F937" s="1545"/>
      <c r="G937" s="1459"/>
      <c r="H937" s="1557"/>
      <c r="J937" s="1548"/>
      <c r="K937" s="1591"/>
    </row>
    <row r="938" spans="1:11" s="1541" customFormat="1">
      <c r="A938" s="1518"/>
      <c r="B938" s="1518"/>
      <c r="C938" s="1522"/>
      <c r="D938" s="1552" t="s">
        <v>4980</v>
      </c>
      <c r="E938" s="1545"/>
      <c r="F938" s="1545"/>
      <c r="G938" s="1459"/>
      <c r="H938" s="1557"/>
      <c r="J938" s="1548"/>
      <c r="K938" s="1591"/>
    </row>
    <row r="939" spans="1:11" s="1541" customFormat="1">
      <c r="A939" s="1518"/>
      <c r="B939" s="1518"/>
      <c r="C939" s="1522"/>
      <c r="D939" s="1552" t="s">
        <v>4981</v>
      </c>
      <c r="E939" s="1545"/>
      <c r="F939" s="1545"/>
      <c r="G939" s="1459"/>
      <c r="H939" s="1557"/>
      <c r="J939" s="1548"/>
      <c r="K939" s="1591"/>
    </row>
    <row r="940" spans="1:11" s="1541" customFormat="1">
      <c r="A940" s="1518"/>
      <c r="B940" s="1518"/>
      <c r="C940" s="1522"/>
      <c r="D940" s="1552" t="s">
        <v>4982</v>
      </c>
      <c r="E940" s="1545"/>
      <c r="F940" s="1545"/>
      <c r="G940" s="1459"/>
      <c r="H940" s="1557"/>
      <c r="J940" s="1548"/>
      <c r="K940" s="1591"/>
    </row>
    <row r="941" spans="1:11" s="1541" customFormat="1">
      <c r="A941" s="1518"/>
      <c r="B941" s="1518"/>
      <c r="C941" s="1522"/>
      <c r="D941" s="1552" t="s">
        <v>4983</v>
      </c>
      <c r="E941" s="1545"/>
      <c r="F941" s="1545"/>
      <c r="G941" s="1459"/>
      <c r="H941" s="1557"/>
      <c r="J941" s="1548"/>
      <c r="K941" s="1591"/>
    </row>
    <row r="942" spans="1:11" s="1541" customFormat="1">
      <c r="A942" s="1518"/>
      <c r="B942" s="1518"/>
      <c r="C942" s="1522"/>
      <c r="D942" s="1552" t="s">
        <v>4984</v>
      </c>
      <c r="E942" s="1545"/>
      <c r="F942" s="1545"/>
      <c r="G942" s="1459"/>
      <c r="H942" s="1557"/>
      <c r="J942" s="1548"/>
      <c r="K942" s="1591"/>
    </row>
    <row r="943" spans="1:11" s="1541" customFormat="1">
      <c r="A943" s="1518"/>
      <c r="B943" s="1518"/>
      <c r="C943" s="1522"/>
      <c r="D943" s="1552" t="s">
        <v>4932</v>
      </c>
      <c r="E943" s="1545"/>
      <c r="F943" s="1545"/>
      <c r="G943" s="1459"/>
      <c r="H943" s="1557"/>
      <c r="J943" s="1548"/>
      <c r="K943" s="1591"/>
    </row>
    <row r="944" spans="1:11" s="1541" customFormat="1">
      <c r="A944" s="1518"/>
      <c r="B944" s="1518"/>
      <c r="C944" s="1522"/>
      <c r="D944" s="1552" t="s">
        <v>4985</v>
      </c>
      <c r="E944" s="1545"/>
      <c r="F944" s="1545"/>
      <c r="G944" s="1459"/>
      <c r="H944" s="1557"/>
      <c r="J944" s="1548"/>
      <c r="K944" s="1591"/>
    </row>
    <row r="945" spans="1:11" s="1541" customFormat="1">
      <c r="A945" s="1518"/>
      <c r="B945" s="1518"/>
      <c r="C945" s="1522"/>
      <c r="D945" s="1552"/>
      <c r="E945" s="1545"/>
      <c r="F945" s="1545"/>
      <c r="G945" s="1459"/>
      <c r="H945" s="1557"/>
      <c r="J945" s="1548"/>
      <c r="K945" s="1591"/>
    </row>
    <row r="946" spans="1:11" s="1541" customFormat="1">
      <c r="A946" s="1518"/>
      <c r="B946" s="1518"/>
      <c r="C946" s="1522"/>
      <c r="D946" s="1552" t="s">
        <v>5533</v>
      </c>
      <c r="E946" s="1545" t="s">
        <v>34</v>
      </c>
      <c r="F946" s="1545">
        <v>23</v>
      </c>
      <c r="G946" s="1459"/>
      <c r="H946" s="1557">
        <f>SUM(F946*G946)</f>
        <v>0</v>
      </c>
      <c r="J946" s="1548"/>
      <c r="K946" s="1591"/>
    </row>
    <row r="947" spans="1:11" s="1541" customFormat="1">
      <c r="A947" s="1518"/>
      <c r="B947" s="1518"/>
      <c r="C947" s="1522"/>
      <c r="D947" s="1552" t="s">
        <v>5534</v>
      </c>
      <c r="E947" s="1545"/>
      <c r="F947" s="1545"/>
      <c r="G947" s="1459"/>
      <c r="H947" s="1557"/>
      <c r="J947" s="1548"/>
      <c r="K947" s="1591"/>
    </row>
    <row r="948" spans="1:11" s="1541" customFormat="1">
      <c r="A948" s="1518"/>
      <c r="B948" s="1518"/>
      <c r="C948" s="1522"/>
      <c r="D948" s="1552"/>
      <c r="E948" s="1545"/>
      <c r="F948" s="1545"/>
      <c r="G948" s="1459"/>
      <c r="H948" s="1557"/>
      <c r="J948" s="1548"/>
      <c r="K948" s="1591"/>
    </row>
    <row r="949" spans="1:11" s="1541" customFormat="1" ht="63.75">
      <c r="A949" s="1518" t="s">
        <v>5492</v>
      </c>
      <c r="B949" s="1518" t="s">
        <v>978</v>
      </c>
      <c r="C949" s="1522" t="s">
        <v>5562</v>
      </c>
      <c r="D949" s="1552" t="s">
        <v>4986</v>
      </c>
      <c r="E949" s="1545"/>
      <c r="F949" s="1545"/>
      <c r="G949" s="1459"/>
      <c r="H949" s="1557"/>
      <c r="J949" s="1548"/>
      <c r="K949" s="1591"/>
    </row>
    <row r="950" spans="1:11" s="1541" customFormat="1">
      <c r="A950" s="1518"/>
      <c r="B950" s="1518"/>
      <c r="C950" s="1522"/>
      <c r="D950" s="1552"/>
      <c r="E950" s="1545"/>
      <c r="F950" s="1545"/>
      <c r="G950" s="1459"/>
      <c r="H950" s="1557"/>
      <c r="J950" s="1548"/>
      <c r="K950" s="1591"/>
    </row>
    <row r="951" spans="1:11" s="1541" customFormat="1">
      <c r="A951" s="1518"/>
      <c r="B951" s="1518"/>
      <c r="C951" s="1522"/>
      <c r="D951" s="1552" t="s">
        <v>4987</v>
      </c>
      <c r="E951" s="1545"/>
      <c r="F951" s="1545"/>
      <c r="G951" s="1459"/>
      <c r="H951" s="1557"/>
      <c r="J951" s="1548"/>
      <c r="K951" s="1591"/>
    </row>
    <row r="952" spans="1:11" s="1541" customFormat="1">
      <c r="A952" s="1518"/>
      <c r="B952" s="1518"/>
      <c r="C952" s="1522"/>
      <c r="D952" s="1552" t="s">
        <v>4988</v>
      </c>
      <c r="E952" s="1545"/>
      <c r="F952" s="1545"/>
      <c r="G952" s="1459"/>
      <c r="H952" s="1557"/>
      <c r="J952" s="1548"/>
      <c r="K952" s="1591"/>
    </row>
    <row r="953" spans="1:11" s="1541" customFormat="1">
      <c r="A953" s="1518"/>
      <c r="B953" s="1518"/>
      <c r="C953" s="1522"/>
      <c r="D953" s="1552" t="s">
        <v>4989</v>
      </c>
      <c r="E953" s="1545"/>
      <c r="F953" s="1545"/>
      <c r="G953" s="1459"/>
      <c r="H953" s="1557"/>
      <c r="J953" s="1548"/>
      <c r="K953" s="1591"/>
    </row>
    <row r="954" spans="1:11" s="1541" customFormat="1">
      <c r="A954" s="1518"/>
      <c r="B954" s="1518"/>
      <c r="C954" s="1522"/>
      <c r="D954" s="1552" t="s">
        <v>4990</v>
      </c>
      <c r="E954" s="1545"/>
      <c r="F954" s="1545"/>
      <c r="G954" s="1459"/>
      <c r="H954" s="1557"/>
      <c r="J954" s="1548"/>
      <c r="K954" s="1591"/>
    </row>
    <row r="955" spans="1:11" s="1541" customFormat="1">
      <c r="A955" s="1518"/>
      <c r="B955" s="1518"/>
      <c r="C955" s="1522"/>
      <c r="D955" s="1552" t="s">
        <v>4956</v>
      </c>
      <c r="E955" s="1545"/>
      <c r="F955" s="1545"/>
      <c r="G955" s="1459"/>
      <c r="H955" s="1557"/>
      <c r="J955" s="1548"/>
      <c r="K955" s="1591"/>
    </row>
    <row r="956" spans="1:11" s="1541" customFormat="1">
      <c r="A956" s="1518"/>
      <c r="B956" s="1518"/>
      <c r="C956" s="1522"/>
      <c r="D956" s="1552" t="s">
        <v>4991</v>
      </c>
      <c r="E956" s="1545"/>
      <c r="F956" s="1545"/>
      <c r="G956" s="1459"/>
      <c r="H956" s="1557"/>
      <c r="J956" s="1548"/>
      <c r="K956" s="1591"/>
    </row>
    <row r="957" spans="1:11" s="1541" customFormat="1">
      <c r="A957" s="1518"/>
      <c r="B957" s="1518"/>
      <c r="C957" s="1522"/>
      <c r="D957" s="1552" t="s">
        <v>4976</v>
      </c>
      <c r="E957" s="1545"/>
      <c r="F957" s="1545"/>
      <c r="G957" s="1459"/>
      <c r="H957" s="1557"/>
      <c r="J957" s="1548"/>
      <c r="K957" s="1591"/>
    </row>
    <row r="958" spans="1:11" s="1541" customFormat="1">
      <c r="A958" s="1518"/>
      <c r="B958" s="1518"/>
      <c r="C958" s="1522"/>
      <c r="D958" s="1552" t="s">
        <v>4992</v>
      </c>
      <c r="E958" s="1545"/>
      <c r="F958" s="1545"/>
      <c r="G958" s="1459"/>
      <c r="H958" s="1557"/>
      <c r="J958" s="1548"/>
      <c r="K958" s="1591"/>
    </row>
    <row r="959" spans="1:11" s="1541" customFormat="1">
      <c r="A959" s="1518"/>
      <c r="B959" s="1518"/>
      <c r="C959" s="1522"/>
      <c r="D959" s="1552" t="s">
        <v>4993</v>
      </c>
      <c r="E959" s="1545"/>
      <c r="F959" s="1545"/>
      <c r="G959" s="1459"/>
      <c r="H959" s="1557"/>
      <c r="J959" s="1548"/>
      <c r="K959" s="1591"/>
    </row>
    <row r="960" spans="1:11" s="1541" customFormat="1">
      <c r="A960" s="1518"/>
      <c r="B960" s="1518"/>
      <c r="C960" s="1522"/>
      <c r="D960" s="1552" t="s">
        <v>4994</v>
      </c>
      <c r="E960" s="1545"/>
      <c r="F960" s="1545"/>
      <c r="G960" s="1459"/>
      <c r="H960" s="1557"/>
      <c r="J960" s="1548"/>
      <c r="K960" s="1591"/>
    </row>
    <row r="961" spans="1:11" s="1541" customFormat="1">
      <c r="A961" s="1518"/>
      <c r="B961" s="1518"/>
      <c r="C961" s="1522"/>
      <c r="D961" s="1552"/>
      <c r="E961" s="1545"/>
      <c r="F961" s="1545"/>
      <c r="G961" s="1459"/>
      <c r="H961" s="1557"/>
      <c r="J961" s="1548"/>
      <c r="K961" s="1591"/>
    </row>
    <row r="962" spans="1:11" s="1541" customFormat="1">
      <c r="A962" s="1518"/>
      <c r="B962" s="1518"/>
      <c r="C962" s="1522"/>
      <c r="D962" s="1552" t="s">
        <v>5533</v>
      </c>
      <c r="E962" s="1545" t="s">
        <v>34</v>
      </c>
      <c r="F962" s="1545">
        <v>1</v>
      </c>
      <c r="G962" s="1459"/>
      <c r="H962" s="1557">
        <f>SUM(F962*G962)</f>
        <v>0</v>
      </c>
      <c r="J962" s="1548"/>
      <c r="K962" s="1591"/>
    </row>
    <row r="963" spans="1:11" s="1541" customFormat="1">
      <c r="A963" s="1518"/>
      <c r="B963" s="1518"/>
      <c r="C963" s="1522"/>
      <c r="D963" s="1552" t="s">
        <v>5534</v>
      </c>
      <c r="E963" s="1545"/>
      <c r="F963" s="1545"/>
      <c r="G963" s="1459"/>
      <c r="H963" s="1557"/>
      <c r="J963" s="1548"/>
      <c r="K963" s="1591"/>
    </row>
    <row r="964" spans="1:11" s="1541" customFormat="1">
      <c r="A964" s="1518"/>
      <c r="B964" s="1518"/>
      <c r="C964" s="1522"/>
      <c r="D964" s="1552"/>
      <c r="E964" s="1545"/>
      <c r="F964" s="1545"/>
      <c r="G964" s="1459"/>
      <c r="H964" s="1557"/>
      <c r="J964" s="1548"/>
      <c r="K964" s="1591"/>
    </row>
    <row r="965" spans="1:11" s="1541" customFormat="1" ht="63.75">
      <c r="A965" s="1518" t="s">
        <v>5492</v>
      </c>
      <c r="B965" s="1518" t="s">
        <v>978</v>
      </c>
      <c r="C965" s="1522" t="s">
        <v>5563</v>
      </c>
      <c r="D965" s="1552" t="s">
        <v>5538</v>
      </c>
      <c r="E965" s="1545"/>
      <c r="F965" s="1545"/>
      <c r="G965" s="1459"/>
      <c r="H965" s="1557"/>
      <c r="J965" s="1548"/>
      <c r="K965" s="1591"/>
    </row>
    <row r="966" spans="1:11" s="1541" customFormat="1">
      <c r="A966" s="1518"/>
      <c r="B966" s="1518"/>
      <c r="C966" s="1522"/>
      <c r="D966" s="1552"/>
      <c r="E966" s="1545"/>
      <c r="F966" s="1545"/>
      <c r="G966" s="1459"/>
      <c r="H966" s="1557"/>
      <c r="J966" s="1548"/>
      <c r="K966" s="1591"/>
    </row>
    <row r="967" spans="1:11" s="1541" customFormat="1">
      <c r="A967" s="1518"/>
      <c r="B967" s="1518"/>
      <c r="C967" s="1522"/>
      <c r="D967" s="1552" t="s">
        <v>4995</v>
      </c>
      <c r="E967" s="1545"/>
      <c r="F967" s="1545"/>
      <c r="G967" s="1459"/>
      <c r="H967" s="1557"/>
      <c r="J967" s="1548"/>
      <c r="K967" s="1591"/>
    </row>
    <row r="968" spans="1:11" s="1541" customFormat="1">
      <c r="A968" s="1518"/>
      <c r="B968" s="1518"/>
      <c r="C968" s="1522"/>
      <c r="D968" s="1552" t="s">
        <v>4996</v>
      </c>
      <c r="E968" s="1545"/>
      <c r="F968" s="1545"/>
      <c r="G968" s="1459"/>
      <c r="H968" s="1557"/>
      <c r="J968" s="1548"/>
      <c r="K968" s="1591"/>
    </row>
    <row r="969" spans="1:11" s="1541" customFormat="1">
      <c r="A969" s="1518"/>
      <c r="B969" s="1518"/>
      <c r="C969" s="1522"/>
      <c r="D969" s="1552" t="s">
        <v>4997</v>
      </c>
      <c r="E969" s="1545"/>
      <c r="F969" s="1545"/>
      <c r="G969" s="1459"/>
      <c r="H969" s="1557"/>
      <c r="J969" s="1548"/>
      <c r="K969" s="1591"/>
    </row>
    <row r="970" spans="1:11" s="1541" customFormat="1">
      <c r="A970" s="1518"/>
      <c r="B970" s="1518"/>
      <c r="C970" s="1522"/>
      <c r="D970" s="1552" t="s">
        <v>4998</v>
      </c>
      <c r="E970" s="1545"/>
      <c r="F970" s="1545"/>
      <c r="G970" s="1459"/>
      <c r="H970" s="1557"/>
      <c r="J970" s="1548"/>
      <c r="K970" s="1591"/>
    </row>
    <row r="971" spans="1:11" s="1541" customFormat="1">
      <c r="A971" s="1518"/>
      <c r="B971" s="1518"/>
      <c r="C971" s="1522"/>
      <c r="D971" s="1552" t="s">
        <v>4999</v>
      </c>
      <c r="E971" s="1545"/>
      <c r="F971" s="1545"/>
      <c r="G971" s="1459"/>
      <c r="H971" s="1557"/>
      <c r="J971" s="1548"/>
      <c r="K971" s="1591"/>
    </row>
    <row r="972" spans="1:11" s="1541" customFormat="1">
      <c r="A972" s="1518"/>
      <c r="B972" s="1518"/>
      <c r="C972" s="1522"/>
      <c r="D972" s="1552" t="s">
        <v>5000</v>
      </c>
      <c r="E972" s="1545"/>
      <c r="F972" s="1545"/>
      <c r="G972" s="1459"/>
      <c r="H972" s="1557"/>
      <c r="J972" s="1548"/>
      <c r="K972" s="1591"/>
    </row>
    <row r="973" spans="1:11" s="1541" customFormat="1">
      <c r="A973" s="1518"/>
      <c r="B973" s="1518"/>
      <c r="C973" s="1522"/>
      <c r="D973" s="1552" t="s">
        <v>5001</v>
      </c>
      <c r="E973" s="1545"/>
      <c r="F973" s="1545"/>
      <c r="G973" s="1459"/>
      <c r="H973" s="1557"/>
      <c r="J973" s="1548"/>
      <c r="K973" s="1591"/>
    </row>
    <row r="974" spans="1:11" s="1541" customFormat="1">
      <c r="A974" s="1518"/>
      <c r="B974" s="1518"/>
      <c r="C974" s="1522"/>
      <c r="D974" s="1552" t="s">
        <v>5002</v>
      </c>
      <c r="E974" s="1545"/>
      <c r="F974" s="1545"/>
      <c r="G974" s="1459"/>
      <c r="H974" s="1557"/>
      <c r="J974" s="1548"/>
      <c r="K974" s="1591"/>
    </row>
    <row r="975" spans="1:11" s="1541" customFormat="1">
      <c r="A975" s="1518"/>
      <c r="B975" s="1518"/>
      <c r="C975" s="1522"/>
      <c r="D975" s="1552" t="s">
        <v>5003</v>
      </c>
      <c r="E975" s="1545"/>
      <c r="F975" s="1545"/>
      <c r="G975" s="1459"/>
      <c r="H975" s="1557"/>
      <c r="J975" s="1548"/>
      <c r="K975" s="1591"/>
    </row>
    <row r="976" spans="1:11" s="1541" customFormat="1">
      <c r="A976" s="1518"/>
      <c r="B976" s="1518"/>
      <c r="C976" s="1522"/>
      <c r="D976" s="1552" t="s">
        <v>5004</v>
      </c>
      <c r="E976" s="1545"/>
      <c r="F976" s="1545"/>
      <c r="G976" s="1459"/>
      <c r="H976" s="1557"/>
      <c r="J976" s="1548"/>
      <c r="K976" s="1591"/>
    </row>
    <row r="977" spans="1:11" s="1541" customFormat="1">
      <c r="A977" s="1518"/>
      <c r="B977" s="1518"/>
      <c r="C977" s="1522"/>
      <c r="D977" s="1552" t="s">
        <v>5005</v>
      </c>
      <c r="E977" s="1545"/>
      <c r="F977" s="1545"/>
      <c r="G977" s="1459"/>
      <c r="H977" s="1557"/>
      <c r="J977" s="1548"/>
      <c r="K977" s="1591"/>
    </row>
    <row r="978" spans="1:11" s="1541" customFormat="1">
      <c r="A978" s="1518"/>
      <c r="B978" s="1518"/>
      <c r="C978" s="1522"/>
      <c r="D978" s="1552" t="s">
        <v>5006</v>
      </c>
      <c r="E978" s="1545"/>
      <c r="F978" s="1545"/>
      <c r="G978" s="1459"/>
      <c r="H978" s="1557"/>
      <c r="J978" s="1548"/>
      <c r="K978" s="1591"/>
    </row>
    <row r="979" spans="1:11" s="1541" customFormat="1">
      <c r="A979" s="1518"/>
      <c r="B979" s="1518"/>
      <c r="C979" s="1522"/>
      <c r="D979" s="1552"/>
      <c r="E979" s="1545"/>
      <c r="F979" s="1545"/>
      <c r="G979" s="1459"/>
      <c r="H979" s="1557"/>
      <c r="J979" s="1548"/>
      <c r="K979" s="1591"/>
    </row>
    <row r="980" spans="1:11" s="1541" customFormat="1">
      <c r="A980" s="1518"/>
      <c r="B980" s="1518"/>
      <c r="C980" s="1522"/>
      <c r="D980" s="1552" t="s">
        <v>5533</v>
      </c>
      <c r="E980" s="1545" t="s">
        <v>34</v>
      </c>
      <c r="F980" s="1545">
        <v>1</v>
      </c>
      <c r="G980" s="1459"/>
      <c r="H980" s="1557">
        <f>SUM(F980*G980)</f>
        <v>0</v>
      </c>
      <c r="J980" s="1548"/>
      <c r="K980" s="1591"/>
    </row>
    <row r="981" spans="1:11" s="1541" customFormat="1">
      <c r="A981" s="1518"/>
      <c r="B981" s="1518"/>
      <c r="C981" s="1522"/>
      <c r="D981" s="1552" t="s">
        <v>5534</v>
      </c>
      <c r="E981" s="1545"/>
      <c r="F981" s="1545"/>
      <c r="G981" s="1459"/>
      <c r="H981" s="1557"/>
      <c r="J981" s="1548"/>
      <c r="K981" s="1591"/>
    </row>
    <row r="982" spans="1:11" s="1541" customFormat="1">
      <c r="A982" s="1518"/>
      <c r="B982" s="1518"/>
      <c r="C982" s="1522"/>
      <c r="D982" s="1552"/>
      <c r="E982" s="1545"/>
      <c r="F982" s="1545"/>
      <c r="G982" s="1459"/>
      <c r="H982" s="1557"/>
      <c r="J982" s="1548"/>
      <c r="K982" s="1591"/>
    </row>
    <row r="983" spans="1:11" s="1541" customFormat="1" ht="38.25">
      <c r="A983" s="1518" t="s">
        <v>5492</v>
      </c>
      <c r="B983" s="1518" t="s">
        <v>978</v>
      </c>
      <c r="C983" s="1522" t="s">
        <v>5564</v>
      </c>
      <c r="D983" s="1552" t="s">
        <v>5539</v>
      </c>
      <c r="E983" s="1545"/>
      <c r="F983" s="1545"/>
      <c r="G983" s="1459"/>
      <c r="H983" s="1557"/>
      <c r="J983" s="1548"/>
      <c r="K983" s="1591"/>
    </row>
    <row r="984" spans="1:11" s="1541" customFormat="1">
      <c r="A984" s="1518"/>
      <c r="B984" s="1518"/>
      <c r="C984" s="1522"/>
      <c r="D984" s="1552"/>
      <c r="E984" s="1545"/>
      <c r="F984" s="1545"/>
      <c r="G984" s="1459"/>
      <c r="H984" s="1557"/>
      <c r="J984" s="1548"/>
      <c r="K984" s="1591"/>
    </row>
    <row r="985" spans="1:11" s="1541" customFormat="1">
      <c r="A985" s="1518"/>
      <c r="B985" s="1518"/>
      <c r="C985" s="1522"/>
      <c r="D985" s="1552" t="s">
        <v>5540</v>
      </c>
      <c r="E985" s="1545"/>
      <c r="F985" s="1545"/>
      <c r="G985" s="1459"/>
      <c r="H985" s="1557"/>
      <c r="J985" s="1548"/>
      <c r="K985" s="1591"/>
    </row>
    <row r="986" spans="1:11" s="1541" customFormat="1">
      <c r="A986" s="1518"/>
      <c r="B986" s="1518"/>
      <c r="C986" s="1522"/>
      <c r="D986" s="1552" t="s">
        <v>5541</v>
      </c>
      <c r="E986" s="1545"/>
      <c r="F986" s="1545"/>
      <c r="G986" s="1459"/>
      <c r="H986" s="1557"/>
      <c r="J986" s="1548"/>
      <c r="K986" s="1591"/>
    </row>
    <row r="987" spans="1:11" s="1541" customFormat="1" ht="25.5">
      <c r="A987" s="1518"/>
      <c r="B987" s="1518"/>
      <c r="C987" s="1522"/>
      <c r="D987" s="1552" t="s">
        <v>5542</v>
      </c>
      <c r="E987" s="1545"/>
      <c r="F987" s="1545"/>
      <c r="G987" s="1459"/>
      <c r="H987" s="1557"/>
      <c r="J987" s="1548"/>
      <c r="K987" s="1591"/>
    </row>
    <row r="988" spans="1:11" s="1541" customFormat="1">
      <c r="A988" s="1518"/>
      <c r="B988" s="1518"/>
      <c r="C988" s="1522"/>
      <c r="D988" s="1552" t="s">
        <v>5543</v>
      </c>
      <c r="E988" s="1545"/>
      <c r="F988" s="1545"/>
      <c r="G988" s="1459"/>
      <c r="H988" s="1557"/>
      <c r="J988" s="1548"/>
      <c r="K988" s="1591"/>
    </row>
    <row r="989" spans="1:11" s="1541" customFormat="1">
      <c r="A989" s="1518"/>
      <c r="B989" s="1518"/>
      <c r="C989" s="1522"/>
      <c r="D989" s="1552"/>
      <c r="E989" s="1545"/>
      <c r="F989" s="1545"/>
      <c r="G989" s="1459"/>
      <c r="H989" s="1557"/>
      <c r="J989" s="1548"/>
      <c r="K989" s="1591"/>
    </row>
    <row r="990" spans="1:11" s="1541" customFormat="1">
      <c r="A990" s="1518"/>
      <c r="B990" s="1518"/>
      <c r="C990" s="1522"/>
      <c r="D990" s="1552" t="s">
        <v>5533</v>
      </c>
      <c r="E990" s="1545" t="s">
        <v>34</v>
      </c>
      <c r="F990" s="1545">
        <v>1</v>
      </c>
      <c r="G990" s="1459"/>
      <c r="H990" s="1557">
        <f>SUM(F990*G990)</f>
        <v>0</v>
      </c>
      <c r="J990" s="1548"/>
      <c r="K990" s="1591"/>
    </row>
    <row r="991" spans="1:11" s="1541" customFormat="1">
      <c r="A991" s="1518"/>
      <c r="B991" s="1518"/>
      <c r="C991" s="1522"/>
      <c r="D991" s="1552" t="s">
        <v>5534</v>
      </c>
      <c r="E991" s="1545"/>
      <c r="F991" s="1545"/>
      <c r="G991" s="1459"/>
      <c r="H991" s="1557"/>
      <c r="J991" s="1548"/>
      <c r="K991" s="1591"/>
    </row>
    <row r="992" spans="1:11" s="1541" customFormat="1">
      <c r="A992" s="1518"/>
      <c r="B992" s="1518"/>
      <c r="C992" s="1522"/>
      <c r="D992" s="1552"/>
      <c r="E992" s="1545"/>
      <c r="F992" s="1545"/>
      <c r="G992" s="1459"/>
      <c r="H992" s="1557"/>
      <c r="J992" s="1548"/>
      <c r="K992" s="1591"/>
    </row>
    <row r="993" spans="1:11" s="1541" customFormat="1" ht="38.25">
      <c r="A993" s="1518" t="s">
        <v>5492</v>
      </c>
      <c r="B993" s="1518" t="s">
        <v>978</v>
      </c>
      <c r="C993" s="1522" t="s">
        <v>5565</v>
      </c>
      <c r="D993" s="1552" t="s">
        <v>5544</v>
      </c>
      <c r="E993" s="1545"/>
      <c r="F993" s="1545"/>
      <c r="G993" s="1459"/>
      <c r="H993" s="1557"/>
      <c r="J993" s="1548"/>
      <c r="K993" s="1591"/>
    </row>
    <row r="994" spans="1:11" s="1541" customFormat="1">
      <c r="A994" s="1518"/>
      <c r="B994" s="1518"/>
      <c r="C994" s="1522"/>
      <c r="D994" s="1552"/>
      <c r="E994" s="1545"/>
      <c r="F994" s="1545"/>
      <c r="G994" s="1459"/>
      <c r="H994" s="1557"/>
      <c r="J994" s="1548"/>
      <c r="K994" s="1591"/>
    </row>
    <row r="995" spans="1:11" s="1541" customFormat="1">
      <c r="A995" s="1518"/>
      <c r="B995" s="1518"/>
      <c r="C995" s="1522"/>
      <c r="D995" s="1552" t="s">
        <v>5545</v>
      </c>
      <c r="E995" s="1545"/>
      <c r="F995" s="1545"/>
      <c r="G995" s="1459"/>
      <c r="H995" s="1557"/>
      <c r="J995" s="1548"/>
      <c r="K995" s="1591"/>
    </row>
    <row r="996" spans="1:11" s="1541" customFormat="1">
      <c r="A996" s="1518"/>
      <c r="B996" s="1518"/>
      <c r="C996" s="1522"/>
      <c r="D996" s="1552" t="s">
        <v>5011</v>
      </c>
      <c r="E996" s="1545"/>
      <c r="F996" s="1545"/>
      <c r="G996" s="1459"/>
      <c r="H996" s="1557"/>
      <c r="J996" s="1548"/>
      <c r="K996" s="1591"/>
    </row>
    <row r="997" spans="1:11" s="1541" customFormat="1">
      <c r="A997" s="1518"/>
      <c r="B997" s="1518"/>
      <c r="C997" s="1522"/>
      <c r="D997" s="1552" t="s">
        <v>5012</v>
      </c>
      <c r="E997" s="1545"/>
      <c r="F997" s="1545"/>
      <c r="G997" s="1459"/>
      <c r="H997" s="1557"/>
      <c r="J997" s="1548"/>
      <c r="K997" s="1591"/>
    </row>
    <row r="998" spans="1:11" s="1541" customFormat="1">
      <c r="A998" s="1518"/>
      <c r="B998" s="1518"/>
      <c r="C998" s="1522"/>
      <c r="D998" s="1552"/>
      <c r="E998" s="1545"/>
      <c r="F998" s="1545"/>
      <c r="G998" s="1459"/>
      <c r="H998" s="1557"/>
      <c r="J998" s="1548"/>
      <c r="K998" s="1591"/>
    </row>
    <row r="999" spans="1:11" s="1541" customFormat="1">
      <c r="A999" s="1518"/>
      <c r="B999" s="1518"/>
      <c r="C999" s="1522"/>
      <c r="D999" s="1552" t="s">
        <v>5533</v>
      </c>
      <c r="E999" s="1545" t="s">
        <v>34</v>
      </c>
      <c r="F999" s="1545">
        <v>1</v>
      </c>
      <c r="G999" s="1459"/>
      <c r="H999" s="1557">
        <f>SUM(F999*G999)</f>
        <v>0</v>
      </c>
      <c r="J999" s="1548"/>
      <c r="K999" s="1591"/>
    </row>
    <row r="1000" spans="1:11" s="1541" customFormat="1">
      <c r="A1000" s="1518"/>
      <c r="B1000" s="1518"/>
      <c r="C1000" s="1522"/>
      <c r="D1000" s="1552" t="s">
        <v>5534</v>
      </c>
      <c r="E1000" s="1545"/>
      <c r="F1000" s="1545"/>
      <c r="G1000" s="1459"/>
      <c r="H1000" s="1557"/>
      <c r="J1000" s="1548"/>
      <c r="K1000" s="1591"/>
    </row>
    <row r="1001" spans="1:11" s="1541" customFormat="1">
      <c r="A1001" s="1518"/>
      <c r="B1001" s="1518"/>
      <c r="C1001" s="1522"/>
      <c r="D1001" s="1552"/>
      <c r="E1001" s="1545"/>
      <c r="F1001" s="1545"/>
      <c r="G1001" s="1459"/>
      <c r="H1001" s="1557"/>
      <c r="J1001" s="1548"/>
      <c r="K1001" s="1591"/>
    </row>
    <row r="1002" spans="1:11" s="1541" customFormat="1" ht="38.25">
      <c r="A1002" s="1518" t="s">
        <v>5492</v>
      </c>
      <c r="B1002" s="1518" t="s">
        <v>978</v>
      </c>
      <c r="C1002" s="1522" t="s">
        <v>5566</v>
      </c>
      <c r="D1002" s="1552" t="s">
        <v>5546</v>
      </c>
      <c r="E1002" s="1545"/>
      <c r="F1002" s="1545"/>
      <c r="G1002" s="1459"/>
      <c r="H1002" s="1557"/>
      <c r="J1002" s="1548"/>
      <c r="K1002" s="1591"/>
    </row>
    <row r="1003" spans="1:11" s="1541" customFormat="1">
      <c r="A1003" s="1518"/>
      <c r="B1003" s="1518"/>
      <c r="C1003" s="1522"/>
      <c r="D1003" s="1552"/>
      <c r="E1003" s="1545"/>
      <c r="F1003" s="1545"/>
      <c r="G1003" s="1459"/>
      <c r="H1003" s="1557"/>
      <c r="J1003" s="1548"/>
      <c r="K1003" s="1591"/>
    </row>
    <row r="1004" spans="1:11" s="1541" customFormat="1">
      <c r="A1004" s="1518"/>
      <c r="B1004" s="1518"/>
      <c r="C1004" s="1522"/>
      <c r="D1004" s="1552" t="s">
        <v>5013</v>
      </c>
      <c r="E1004" s="1545"/>
      <c r="F1004" s="1545"/>
      <c r="G1004" s="1459"/>
      <c r="H1004" s="1557"/>
      <c r="J1004" s="1548"/>
      <c r="K1004" s="1591"/>
    </row>
    <row r="1005" spans="1:11" s="1541" customFormat="1">
      <c r="A1005" s="1518"/>
      <c r="B1005" s="1518"/>
      <c r="C1005" s="1522"/>
      <c r="D1005" s="1552" t="s">
        <v>5014</v>
      </c>
      <c r="E1005" s="1545"/>
      <c r="F1005" s="1545"/>
      <c r="G1005" s="1459"/>
      <c r="H1005" s="1557"/>
      <c r="J1005" s="1548"/>
      <c r="K1005" s="1591"/>
    </row>
    <row r="1006" spans="1:11" s="1541" customFormat="1">
      <c r="A1006" s="1518"/>
      <c r="B1006" s="1518"/>
      <c r="C1006" s="1522"/>
      <c r="D1006" s="1552" t="s">
        <v>5015</v>
      </c>
      <c r="E1006" s="1545"/>
      <c r="F1006" s="1545"/>
      <c r="G1006" s="1459"/>
      <c r="H1006" s="1557"/>
      <c r="J1006" s="1548"/>
      <c r="K1006" s="1591"/>
    </row>
    <row r="1007" spans="1:11" s="1541" customFormat="1">
      <c r="A1007" s="1518"/>
      <c r="B1007" s="1518"/>
      <c r="C1007" s="1522"/>
      <c r="D1007" s="1552" t="s">
        <v>5012</v>
      </c>
      <c r="E1007" s="1545"/>
      <c r="F1007" s="1545"/>
      <c r="G1007" s="1459"/>
      <c r="H1007" s="1557"/>
      <c r="J1007" s="1548"/>
      <c r="K1007" s="1591"/>
    </row>
    <row r="1008" spans="1:11" s="1541" customFormat="1">
      <c r="A1008" s="1518"/>
      <c r="B1008" s="1518"/>
      <c r="C1008" s="1522"/>
      <c r="D1008" s="1552"/>
      <c r="E1008" s="1545"/>
      <c r="F1008" s="1545"/>
      <c r="G1008" s="1459"/>
      <c r="H1008" s="1557"/>
      <c r="J1008" s="1548"/>
      <c r="K1008" s="1591"/>
    </row>
    <row r="1009" spans="1:11" s="1541" customFormat="1">
      <c r="A1009" s="1518"/>
      <c r="B1009" s="1518"/>
      <c r="C1009" s="1522"/>
      <c r="D1009" s="1552" t="s">
        <v>5533</v>
      </c>
      <c r="E1009" s="1545" t="s">
        <v>34</v>
      </c>
      <c r="F1009" s="1545">
        <v>1</v>
      </c>
      <c r="G1009" s="1459"/>
      <c r="H1009" s="1557">
        <f>SUM(F1009*G1009)</f>
        <v>0</v>
      </c>
      <c r="J1009" s="1548"/>
      <c r="K1009" s="1591"/>
    </row>
    <row r="1010" spans="1:11" s="1541" customFormat="1">
      <c r="A1010" s="1518"/>
      <c r="B1010" s="1518"/>
      <c r="C1010" s="1522"/>
      <c r="D1010" s="1552" t="s">
        <v>5534</v>
      </c>
      <c r="E1010" s="1545"/>
      <c r="F1010" s="1545"/>
      <c r="G1010" s="1459"/>
      <c r="H1010" s="1557"/>
      <c r="J1010" s="1548"/>
      <c r="K1010" s="1591"/>
    </row>
    <row r="1011" spans="1:11" s="1541" customFormat="1">
      <c r="A1011" s="1518"/>
      <c r="B1011" s="1518"/>
      <c r="C1011" s="1522"/>
      <c r="D1011" s="1552"/>
      <c r="E1011" s="1545"/>
      <c r="F1011" s="1545"/>
      <c r="G1011" s="1459"/>
      <c r="H1011" s="1557"/>
      <c r="J1011" s="1548"/>
      <c r="K1011" s="1591"/>
    </row>
    <row r="1012" spans="1:11" s="1541" customFormat="1" ht="51">
      <c r="A1012" s="1518" t="s">
        <v>5492</v>
      </c>
      <c r="B1012" s="1518" t="s">
        <v>978</v>
      </c>
      <c r="C1012" s="1522" t="s">
        <v>5567</v>
      </c>
      <c r="D1012" s="1552" t="s">
        <v>5007</v>
      </c>
      <c r="E1012" s="1545"/>
      <c r="F1012" s="1545"/>
      <c r="G1012" s="1459"/>
      <c r="H1012" s="1557"/>
      <c r="J1012" s="1548"/>
      <c r="K1012" s="1591"/>
    </row>
    <row r="1013" spans="1:11" s="1541" customFormat="1">
      <c r="A1013" s="1518"/>
      <c r="B1013" s="1518"/>
      <c r="C1013" s="1522"/>
      <c r="D1013" s="1552"/>
      <c r="E1013" s="1545"/>
      <c r="F1013" s="1545"/>
      <c r="G1013" s="1459"/>
      <c r="H1013" s="1557"/>
      <c r="J1013" s="1548"/>
      <c r="K1013" s="1591"/>
    </row>
    <row r="1014" spans="1:11" s="1541" customFormat="1">
      <c r="A1014" s="1518"/>
      <c r="B1014" s="1518"/>
      <c r="C1014" s="1522"/>
      <c r="D1014" s="1552" t="s">
        <v>4934</v>
      </c>
      <c r="E1014" s="1545"/>
      <c r="F1014" s="1545"/>
      <c r="G1014" s="1459"/>
      <c r="H1014" s="1557"/>
      <c r="J1014" s="1548"/>
      <c r="K1014" s="1591"/>
    </row>
    <row r="1015" spans="1:11" s="1541" customFormat="1">
      <c r="A1015" s="1518"/>
      <c r="B1015" s="1518"/>
      <c r="C1015" s="1522"/>
      <c r="D1015" s="1552" t="s">
        <v>5008</v>
      </c>
      <c r="E1015" s="1545"/>
      <c r="F1015" s="1545"/>
      <c r="G1015" s="1459"/>
      <c r="H1015" s="1557"/>
      <c r="J1015" s="1548"/>
      <c r="K1015" s="1591"/>
    </row>
    <row r="1016" spans="1:11" s="1541" customFormat="1">
      <c r="A1016" s="1518"/>
      <c r="B1016" s="1518"/>
      <c r="C1016" s="1522"/>
      <c r="D1016" s="1552" t="s">
        <v>5009</v>
      </c>
      <c r="E1016" s="1545"/>
      <c r="F1016" s="1545"/>
      <c r="G1016" s="1459"/>
      <c r="H1016" s="1557"/>
      <c r="J1016" s="1548"/>
      <c r="K1016" s="1591"/>
    </row>
    <row r="1017" spans="1:11" s="1541" customFormat="1">
      <c r="A1017" s="1518"/>
      <c r="B1017" s="1518"/>
      <c r="C1017" s="1522"/>
      <c r="D1017" s="1552" t="s">
        <v>4972</v>
      </c>
      <c r="E1017" s="1545"/>
      <c r="F1017" s="1545"/>
      <c r="G1017" s="1459"/>
      <c r="H1017" s="1557"/>
      <c r="J1017" s="1548"/>
      <c r="K1017" s="1591"/>
    </row>
    <row r="1018" spans="1:11" s="1541" customFormat="1">
      <c r="A1018" s="1518"/>
      <c r="B1018" s="1518"/>
      <c r="C1018" s="1522"/>
      <c r="D1018" s="1552" t="s">
        <v>5010</v>
      </c>
      <c r="E1018" s="1545"/>
      <c r="F1018" s="1545"/>
      <c r="G1018" s="1459"/>
      <c r="H1018" s="1557"/>
      <c r="J1018" s="1548"/>
      <c r="K1018" s="1591"/>
    </row>
    <row r="1019" spans="1:11" s="1541" customFormat="1">
      <c r="A1019" s="1518"/>
      <c r="B1019" s="1518"/>
      <c r="C1019" s="1522"/>
      <c r="D1019" s="1552" t="s">
        <v>4891</v>
      </c>
      <c r="E1019" s="1545"/>
      <c r="F1019" s="1545"/>
      <c r="G1019" s="1459"/>
      <c r="H1019" s="1557"/>
      <c r="J1019" s="1548"/>
      <c r="K1019" s="1591"/>
    </row>
    <row r="1020" spans="1:11" s="1541" customFormat="1">
      <c r="A1020" s="1518"/>
      <c r="B1020" s="1518"/>
      <c r="C1020" s="1522"/>
      <c r="D1020" s="1552" t="s">
        <v>4931</v>
      </c>
      <c r="E1020" s="1545"/>
      <c r="F1020" s="1545"/>
      <c r="G1020" s="1459"/>
      <c r="H1020" s="1557"/>
      <c r="J1020" s="1548"/>
      <c r="K1020" s="1591"/>
    </row>
    <row r="1021" spans="1:11" s="1541" customFormat="1">
      <c r="A1021" s="1518"/>
      <c r="B1021" s="1518"/>
      <c r="C1021" s="1522"/>
      <c r="D1021" s="1552"/>
      <c r="E1021" s="1545"/>
      <c r="F1021" s="1545"/>
      <c r="G1021" s="1459"/>
      <c r="H1021" s="1557"/>
      <c r="J1021" s="1548"/>
      <c r="K1021" s="1591"/>
    </row>
    <row r="1022" spans="1:11" s="1541" customFormat="1">
      <c r="A1022" s="1518"/>
      <c r="B1022" s="1518"/>
      <c r="C1022" s="1522"/>
      <c r="D1022" s="1552" t="s">
        <v>5533</v>
      </c>
      <c r="E1022" s="1545" t="s">
        <v>34</v>
      </c>
      <c r="F1022" s="1545">
        <v>1</v>
      </c>
      <c r="G1022" s="1459"/>
      <c r="H1022" s="1557">
        <f>SUM(F1022*G1022)</f>
        <v>0</v>
      </c>
      <c r="J1022" s="1548"/>
      <c r="K1022" s="1591"/>
    </row>
    <row r="1023" spans="1:11" s="1541" customFormat="1">
      <c r="A1023" s="1518"/>
      <c r="B1023" s="1518"/>
      <c r="C1023" s="1522"/>
      <c r="D1023" s="1552" t="s">
        <v>5534</v>
      </c>
      <c r="E1023" s="1545"/>
      <c r="F1023" s="1545"/>
      <c r="G1023" s="1459"/>
      <c r="H1023" s="1557"/>
      <c r="J1023" s="1548"/>
      <c r="K1023" s="1591"/>
    </row>
    <row r="1024" spans="1:11" s="1541" customFormat="1">
      <c r="A1024" s="1518"/>
      <c r="B1024" s="1518"/>
      <c r="C1024" s="1522"/>
      <c r="D1024" s="1552"/>
      <c r="E1024" s="1545"/>
      <c r="F1024" s="1545"/>
      <c r="G1024" s="1459"/>
      <c r="H1024" s="1557"/>
      <c r="J1024" s="1548"/>
      <c r="K1024" s="1591"/>
    </row>
    <row r="1025" spans="1:11" s="1541" customFormat="1" ht="25.5">
      <c r="A1025" s="1518" t="s">
        <v>5492</v>
      </c>
      <c r="B1025" s="1518" t="s">
        <v>978</v>
      </c>
      <c r="C1025" s="1522" t="s">
        <v>5568</v>
      </c>
      <c r="D1025" s="1552" t="s">
        <v>5547</v>
      </c>
      <c r="E1025" s="1545"/>
      <c r="F1025" s="1545"/>
      <c r="G1025" s="1459"/>
      <c r="H1025" s="1557"/>
      <c r="J1025" s="1548"/>
      <c r="K1025" s="1591"/>
    </row>
    <row r="1026" spans="1:11" s="1541" customFormat="1">
      <c r="A1026" s="1518"/>
      <c r="B1026" s="1518"/>
      <c r="C1026" s="1522"/>
      <c r="D1026" s="1552"/>
      <c r="E1026" s="1545"/>
      <c r="F1026" s="1545"/>
      <c r="G1026" s="1459"/>
      <c r="H1026" s="1557"/>
      <c r="J1026" s="1548"/>
      <c r="K1026" s="1591"/>
    </row>
    <row r="1027" spans="1:11" s="1541" customFormat="1">
      <c r="A1027" s="1518"/>
      <c r="B1027" s="1518"/>
      <c r="C1027" s="1522"/>
      <c r="D1027" s="1552" t="s">
        <v>5533</v>
      </c>
      <c r="E1027" s="1545" t="s">
        <v>2243</v>
      </c>
      <c r="F1027" s="1545">
        <v>1</v>
      </c>
      <c r="G1027" s="1459"/>
      <c r="H1027" s="1557">
        <f>SUM(F1027*G1027)</f>
        <v>0</v>
      </c>
      <c r="J1027" s="1548"/>
      <c r="K1027" s="1591"/>
    </row>
    <row r="1028" spans="1:11" s="1541" customFormat="1">
      <c r="A1028" s="1518"/>
      <c r="B1028" s="1518"/>
      <c r="C1028" s="1522"/>
      <c r="D1028" s="1552"/>
      <c r="E1028" s="1545"/>
      <c r="F1028" s="1545"/>
      <c r="G1028" s="1459"/>
      <c r="H1028" s="1557"/>
      <c r="J1028" s="1548"/>
      <c r="K1028" s="1591"/>
    </row>
    <row r="1029" spans="1:11" s="1541" customFormat="1" ht="25.5">
      <c r="A1029" s="1518" t="s">
        <v>5492</v>
      </c>
      <c r="B1029" s="1518" t="s">
        <v>978</v>
      </c>
      <c r="C1029" s="1522" t="s">
        <v>5569</v>
      </c>
      <c r="D1029" s="1552" t="s">
        <v>5548</v>
      </c>
      <c r="E1029" s="1545"/>
      <c r="F1029" s="1545"/>
      <c r="G1029" s="1459"/>
      <c r="H1029" s="1557"/>
      <c r="J1029" s="1548"/>
      <c r="K1029" s="1591"/>
    </row>
    <row r="1030" spans="1:11" s="1541" customFormat="1">
      <c r="A1030" s="1518"/>
      <c r="B1030" s="1518"/>
      <c r="C1030" s="1522"/>
      <c r="D1030" s="1552"/>
      <c r="E1030" s="1545"/>
      <c r="F1030" s="1545"/>
      <c r="G1030" s="1459"/>
      <c r="H1030" s="1557"/>
      <c r="J1030" s="1548"/>
      <c r="K1030" s="1591"/>
    </row>
    <row r="1031" spans="1:11" s="1541" customFormat="1">
      <c r="A1031" s="1518"/>
      <c r="B1031" s="1518"/>
      <c r="C1031" s="1522"/>
      <c r="D1031" s="1552" t="s">
        <v>5533</v>
      </c>
      <c r="E1031" s="1545" t="s">
        <v>2243</v>
      </c>
      <c r="F1031" s="1545">
        <v>1</v>
      </c>
      <c r="G1031" s="1459"/>
      <c r="H1031" s="1557">
        <f>SUM(F1031*G1031)</f>
        <v>0</v>
      </c>
      <c r="J1031" s="1548"/>
      <c r="K1031" s="1591"/>
    </row>
    <row r="1032" spans="1:11" s="1541" customFormat="1">
      <c r="A1032" s="1518"/>
      <c r="B1032" s="1518"/>
      <c r="C1032" s="1522"/>
      <c r="D1032" s="1523"/>
      <c r="E1032" s="1545"/>
      <c r="F1032" s="1545"/>
      <c r="G1032" s="1459"/>
      <c r="H1032" s="1557"/>
      <c r="J1032" s="1548"/>
      <c r="K1032" s="1591"/>
    </row>
    <row r="1033" spans="1:11">
      <c r="D1033" s="1554"/>
      <c r="F1033" s="1545"/>
      <c r="G1033" s="1459"/>
      <c r="H1033" s="1557"/>
    </row>
    <row r="1034" spans="1:11" s="1517" customFormat="1">
      <c r="A1034" s="1518" t="str">
        <f>$A$1</f>
        <v>H.</v>
      </c>
      <c r="B1034" s="1518" t="str">
        <f>B32</f>
        <v>2.</v>
      </c>
      <c r="C1034" s="1518"/>
      <c r="D1034" s="1514" t="str">
        <f>D32</f>
        <v xml:space="preserve">RASVJETNA TIJELA I ELEMENTI UPRAVLJANJA </v>
      </c>
      <c r="E1034" s="1518"/>
      <c r="F1034" s="1569"/>
      <c r="G1034" s="1455" t="s">
        <v>2957</v>
      </c>
      <c r="H1034" s="1558">
        <f>SUM(H35:H1033)</f>
        <v>0</v>
      </c>
    </row>
    <row r="1035" spans="1:11">
      <c r="D1035" s="1554"/>
      <c r="F1035" s="1545"/>
      <c r="G1035" s="1459"/>
      <c r="H1035" s="1557"/>
    </row>
    <row r="1036" spans="1:11">
      <c r="D1036" s="1554"/>
      <c r="F1036" s="1545"/>
      <c r="G1036" s="1459"/>
      <c r="H1036" s="1557"/>
    </row>
    <row r="1037" spans="1:11" s="1517" customFormat="1">
      <c r="A1037" s="1518" t="str">
        <f>A1</f>
        <v>H.</v>
      </c>
      <c r="B1037" s="1518" t="s">
        <v>980</v>
      </c>
      <c r="C1037" s="1522"/>
      <c r="D1037" s="1523" t="s">
        <v>5016</v>
      </c>
      <c r="E1037" s="1518"/>
      <c r="F1037" s="1539"/>
      <c r="G1037" s="1454"/>
      <c r="H1037" s="1540"/>
    </row>
    <row r="1038" spans="1:11">
      <c r="D1038" s="1554"/>
      <c r="F1038" s="1545"/>
      <c r="G1038" s="1459"/>
      <c r="H1038" s="1557"/>
    </row>
    <row r="1039" spans="1:11">
      <c r="D1039" s="1554"/>
      <c r="F1039" s="1545"/>
      <c r="G1039" s="1459"/>
      <c r="H1039" s="1557"/>
    </row>
    <row r="1040" spans="1:11" s="1541" customFormat="1" ht="51">
      <c r="A1040" s="1518" t="str">
        <f>A1037</f>
        <v>H.</v>
      </c>
      <c r="B1040" s="1518" t="str">
        <f>B1037</f>
        <v>3.</v>
      </c>
      <c r="C1040" s="1522">
        <v>1</v>
      </c>
      <c r="D1040" s="1570" t="s">
        <v>5017</v>
      </c>
      <c r="E1040" s="1538"/>
      <c r="F1040" s="1538"/>
      <c r="G1040" s="1456"/>
      <c r="H1040" s="1553"/>
      <c r="J1040" s="1548"/>
      <c r="K1040" s="1591"/>
    </row>
    <row r="1041" spans="1:11" s="1541" customFormat="1" ht="191.25">
      <c r="A1041" s="1518"/>
      <c r="B1041" s="1518"/>
      <c r="C1041" s="1522"/>
      <c r="D1041" s="1571" t="s">
        <v>5018</v>
      </c>
      <c r="E1041" s="1538"/>
      <c r="F1041" s="1538"/>
      <c r="G1041" s="1456"/>
      <c r="H1041" s="1553"/>
      <c r="J1041" s="1548"/>
      <c r="K1041" s="1591"/>
    </row>
    <row r="1042" spans="1:11" s="1541" customFormat="1">
      <c r="A1042" s="1518"/>
      <c r="B1042" s="1518"/>
      <c r="C1042" s="1522"/>
      <c r="D1042" s="1516" t="s">
        <v>5019</v>
      </c>
      <c r="E1042" s="1538"/>
      <c r="F1042" s="1538"/>
      <c r="G1042" s="1456"/>
      <c r="H1042" s="1553"/>
      <c r="J1042" s="1548"/>
      <c r="K1042" s="1591"/>
    </row>
    <row r="1043" spans="1:11" s="1541" customFormat="1" ht="25.5">
      <c r="A1043" s="1518"/>
      <c r="B1043" s="1518"/>
      <c r="C1043" s="1522"/>
      <c r="D1043" s="1554" t="s">
        <v>5020</v>
      </c>
      <c r="E1043" s="1545"/>
      <c r="F1043" s="1545"/>
      <c r="G1043" s="1459"/>
      <c r="H1043" s="1557"/>
      <c r="J1043" s="1548"/>
      <c r="K1043" s="1591"/>
    </row>
    <row r="1044" spans="1:11" s="1541" customFormat="1" ht="25.5">
      <c r="A1044" s="1518"/>
      <c r="B1044" s="1518"/>
      <c r="C1044" s="1522"/>
      <c r="D1044" s="1554" t="s">
        <v>5021</v>
      </c>
      <c r="E1044" s="1545"/>
      <c r="F1044" s="1545"/>
      <c r="G1044" s="1459"/>
      <c r="H1044" s="1557"/>
      <c r="J1044" s="1548"/>
      <c r="K1044" s="1591"/>
    </row>
    <row r="1045" spans="1:11" s="1541" customFormat="1" ht="25.5">
      <c r="A1045" s="1518"/>
      <c r="B1045" s="1518"/>
      <c r="C1045" s="1522"/>
      <c r="D1045" s="1554" t="s">
        <v>5022</v>
      </c>
      <c r="E1045" s="1545"/>
      <c r="F1045" s="1545"/>
      <c r="G1045" s="1459"/>
      <c r="H1045" s="1557"/>
      <c r="J1045" s="1548"/>
      <c r="K1045" s="1591"/>
    </row>
    <row r="1046" spans="1:11" s="1541" customFormat="1" ht="25.5">
      <c r="A1046" s="1518"/>
      <c r="B1046" s="1518"/>
      <c r="C1046" s="1522"/>
      <c r="D1046" s="1554" t="s">
        <v>5023</v>
      </c>
      <c r="E1046" s="1545"/>
      <c r="F1046" s="1545"/>
      <c r="G1046" s="1459"/>
      <c r="H1046" s="1557"/>
      <c r="J1046" s="1548"/>
      <c r="K1046" s="1591"/>
    </row>
    <row r="1047" spans="1:11" s="1541" customFormat="1" ht="25.5">
      <c r="A1047" s="1518"/>
      <c r="B1047" s="1518"/>
      <c r="C1047" s="1522"/>
      <c r="D1047" s="1554" t="s">
        <v>5024</v>
      </c>
      <c r="E1047" s="1545"/>
      <c r="F1047" s="1545"/>
      <c r="G1047" s="1459"/>
      <c r="H1047" s="1557"/>
      <c r="J1047" s="1548"/>
      <c r="K1047" s="1591"/>
    </row>
    <row r="1048" spans="1:11" s="1541" customFormat="1" ht="25.5">
      <c r="A1048" s="1518"/>
      <c r="B1048" s="1518"/>
      <c r="C1048" s="1522"/>
      <c r="D1048" s="1554" t="s">
        <v>5025</v>
      </c>
      <c r="E1048" s="1545"/>
      <c r="F1048" s="1545"/>
      <c r="G1048" s="1459"/>
      <c r="H1048" s="1557"/>
      <c r="J1048" s="1548"/>
      <c r="K1048" s="1591"/>
    </row>
    <row r="1049" spans="1:11" s="1541" customFormat="1" ht="25.5">
      <c r="A1049" s="1518"/>
      <c r="B1049" s="1518"/>
      <c r="C1049" s="1522"/>
      <c r="D1049" s="1554" t="s">
        <v>5026</v>
      </c>
      <c r="E1049" s="1545"/>
      <c r="F1049" s="1545"/>
      <c r="G1049" s="1459"/>
      <c r="H1049" s="1557"/>
      <c r="J1049" s="1548"/>
      <c r="K1049" s="1591"/>
    </row>
    <row r="1050" spans="1:11" s="1541" customFormat="1" ht="25.5">
      <c r="A1050" s="1518"/>
      <c r="B1050" s="1518"/>
      <c r="C1050" s="1522"/>
      <c r="D1050" s="1554" t="s">
        <v>5027</v>
      </c>
      <c r="E1050" s="1545"/>
      <c r="F1050" s="1545"/>
      <c r="G1050" s="1459"/>
      <c r="H1050" s="1557"/>
      <c r="J1050" s="1548"/>
      <c r="K1050" s="1591"/>
    </row>
    <row r="1051" spans="1:11" s="1541" customFormat="1" ht="25.5">
      <c r="A1051" s="1518"/>
      <c r="B1051" s="1518"/>
      <c r="C1051" s="1522"/>
      <c r="D1051" s="1554" t="s">
        <v>5028</v>
      </c>
      <c r="E1051" s="1545"/>
      <c r="F1051" s="1545"/>
      <c r="G1051" s="1459"/>
      <c r="H1051" s="1557"/>
      <c r="J1051" s="1548"/>
      <c r="K1051" s="1591"/>
    </row>
    <row r="1052" spans="1:11" s="1541" customFormat="1" ht="38.25">
      <c r="A1052" s="1518"/>
      <c r="B1052" s="1518"/>
      <c r="C1052" s="1522"/>
      <c r="D1052" s="1554" t="s">
        <v>5029</v>
      </c>
      <c r="E1052" s="1545"/>
      <c r="F1052" s="1545"/>
      <c r="G1052" s="1459" t="s">
        <v>5030</v>
      </c>
      <c r="H1052" s="1557"/>
      <c r="J1052" s="1548"/>
      <c r="K1052" s="1591"/>
    </row>
    <row r="1053" spans="1:11" s="1541" customFormat="1" ht="38.25">
      <c r="A1053" s="1518"/>
      <c r="B1053" s="1518"/>
      <c r="C1053" s="1522"/>
      <c r="D1053" s="1554" t="s">
        <v>5031</v>
      </c>
      <c r="E1053" s="1545"/>
      <c r="F1053" s="1545"/>
      <c r="G1053" s="1459" t="s">
        <v>5030</v>
      </c>
      <c r="H1053" s="1557"/>
      <c r="J1053" s="1548"/>
      <c r="K1053" s="1591"/>
    </row>
    <row r="1054" spans="1:11" s="1541" customFormat="1" ht="25.5">
      <c r="A1054" s="1518"/>
      <c r="B1054" s="1518"/>
      <c r="C1054" s="1522"/>
      <c r="D1054" s="1554" t="s">
        <v>5032</v>
      </c>
      <c r="E1054" s="1545"/>
      <c r="F1054" s="1545"/>
      <c r="G1054" s="1459"/>
      <c r="H1054" s="1557"/>
      <c r="J1054" s="1548"/>
      <c r="K1054" s="1591"/>
    </row>
    <row r="1055" spans="1:11" s="1541" customFormat="1" ht="25.5">
      <c r="A1055" s="1518"/>
      <c r="B1055" s="1518"/>
      <c r="C1055" s="1522"/>
      <c r="D1055" s="1554" t="s">
        <v>5033</v>
      </c>
      <c r="E1055" s="1545"/>
      <c r="F1055" s="1545"/>
      <c r="G1055" s="1459"/>
      <c r="H1055" s="1557"/>
      <c r="J1055" s="1548"/>
      <c r="K1055" s="1591"/>
    </row>
    <row r="1056" spans="1:11" s="1541" customFormat="1" ht="38.25">
      <c r="A1056" s="1518"/>
      <c r="B1056" s="1518"/>
      <c r="C1056" s="1522"/>
      <c r="D1056" s="1554" t="s">
        <v>5034</v>
      </c>
      <c r="E1056" s="1545"/>
      <c r="F1056" s="1545"/>
      <c r="G1056" s="1459" t="s">
        <v>5030</v>
      </c>
      <c r="H1056" s="1557"/>
      <c r="J1056" s="1548"/>
      <c r="K1056" s="1591"/>
    </row>
    <row r="1057" spans="1:11" s="1541" customFormat="1">
      <c r="A1057" s="1518"/>
      <c r="B1057" s="1518"/>
      <c r="C1057" s="1522"/>
      <c r="D1057" s="1516" t="s">
        <v>5035</v>
      </c>
      <c r="E1057" s="1545"/>
      <c r="F1057" s="1594"/>
      <c r="G1057" s="1459"/>
      <c r="H1057" s="1557"/>
      <c r="J1057" s="1548"/>
      <c r="K1057" s="1591"/>
    </row>
    <row r="1058" spans="1:11" s="1541" customFormat="1" ht="25.5">
      <c r="A1058" s="1518"/>
      <c r="B1058" s="1518"/>
      <c r="C1058" s="1522"/>
      <c r="D1058" s="1571" t="s">
        <v>5036</v>
      </c>
      <c r="E1058" s="1545"/>
      <c r="F1058" s="1594"/>
      <c r="G1058" s="1459"/>
      <c r="H1058" s="1557"/>
      <c r="J1058" s="1548"/>
      <c r="K1058" s="1591"/>
    </row>
    <row r="1059" spans="1:11" s="1541" customFormat="1" ht="25.5">
      <c r="A1059" s="1518"/>
      <c r="B1059" s="1518"/>
      <c r="C1059" s="1522"/>
      <c r="D1059" s="1571" t="s">
        <v>5037</v>
      </c>
      <c r="E1059" s="1545"/>
      <c r="F1059" s="1594"/>
      <c r="G1059" s="1459"/>
      <c r="H1059" s="1557"/>
      <c r="J1059" s="1548"/>
      <c r="K1059" s="1591"/>
    </row>
    <row r="1060" spans="1:11" s="1541" customFormat="1" ht="25.5">
      <c r="A1060" s="1518"/>
      <c r="B1060" s="1518"/>
      <c r="C1060" s="1522"/>
      <c r="D1060" s="1571" t="s">
        <v>5038</v>
      </c>
      <c r="E1060" s="1545"/>
      <c r="F1060" s="1594"/>
      <c r="G1060" s="1459"/>
      <c r="H1060" s="1557"/>
      <c r="J1060" s="1548"/>
      <c r="K1060" s="1591"/>
    </row>
    <row r="1061" spans="1:11" s="1541" customFormat="1" ht="25.5">
      <c r="A1061" s="1518"/>
      <c r="B1061" s="1518"/>
      <c r="C1061" s="1522"/>
      <c r="D1061" s="1571" t="s">
        <v>5039</v>
      </c>
      <c r="E1061" s="1545"/>
      <c r="F1061" s="1594"/>
      <c r="G1061" s="1459"/>
      <c r="H1061" s="1557"/>
      <c r="J1061" s="1548"/>
      <c r="K1061" s="1591"/>
    </row>
    <row r="1062" spans="1:11" s="1541" customFormat="1" ht="25.5">
      <c r="A1062" s="1518"/>
      <c r="B1062" s="1518"/>
      <c r="C1062" s="1522"/>
      <c r="D1062" s="1571" t="s">
        <v>5040</v>
      </c>
      <c r="E1062" s="1545"/>
      <c r="F1062" s="1594"/>
      <c r="G1062" s="1459"/>
      <c r="H1062" s="1557"/>
      <c r="J1062" s="1548"/>
      <c r="K1062" s="1591"/>
    </row>
    <row r="1063" spans="1:11" s="1541" customFormat="1" ht="25.5">
      <c r="A1063" s="1518"/>
      <c r="B1063" s="1518"/>
      <c r="C1063" s="1522"/>
      <c r="D1063" s="1571" t="s">
        <v>5041</v>
      </c>
      <c r="E1063" s="1545"/>
      <c r="F1063" s="1594"/>
      <c r="G1063" s="1459"/>
      <c r="H1063" s="1557"/>
      <c r="J1063" s="1548"/>
      <c r="K1063" s="1591"/>
    </row>
    <row r="1064" spans="1:11" s="1541" customFormat="1" ht="25.5">
      <c r="A1064" s="1518"/>
      <c r="B1064" s="1518"/>
      <c r="C1064" s="1522"/>
      <c r="D1064" s="1571" t="s">
        <v>5042</v>
      </c>
      <c r="E1064" s="1545"/>
      <c r="F1064" s="1594"/>
      <c r="G1064" s="1459"/>
      <c r="H1064" s="1557"/>
      <c r="J1064" s="1548"/>
      <c r="K1064" s="1591"/>
    </row>
    <row r="1065" spans="1:11" s="1541" customFormat="1" ht="25.5">
      <c r="A1065" s="1518"/>
      <c r="B1065" s="1518"/>
      <c r="C1065" s="1522"/>
      <c r="D1065" s="1571" t="s">
        <v>5043</v>
      </c>
      <c r="E1065" s="1545"/>
      <c r="F1065" s="1594"/>
      <c r="G1065" s="1459"/>
      <c r="H1065" s="1557"/>
      <c r="J1065" s="1548"/>
      <c r="K1065" s="1591"/>
    </row>
    <row r="1066" spans="1:11" s="1541" customFormat="1" ht="25.5">
      <c r="A1066" s="1518"/>
      <c r="B1066" s="1518"/>
      <c r="C1066" s="1522"/>
      <c r="D1066" s="1571" t="s">
        <v>5044</v>
      </c>
      <c r="E1066" s="1545"/>
      <c r="F1066" s="1594"/>
      <c r="G1066" s="1459"/>
      <c r="H1066" s="1557"/>
      <c r="J1066" s="1548"/>
      <c r="K1066" s="1591"/>
    </row>
    <row r="1067" spans="1:11" s="1541" customFormat="1" ht="25.5">
      <c r="A1067" s="1518"/>
      <c r="B1067" s="1518"/>
      <c r="C1067" s="1522"/>
      <c r="D1067" s="1571" t="s">
        <v>5045</v>
      </c>
      <c r="E1067" s="1545"/>
      <c r="F1067" s="1594"/>
      <c r="G1067" s="1459"/>
      <c r="H1067" s="1557"/>
      <c r="J1067" s="1548"/>
      <c r="K1067" s="1591"/>
    </row>
    <row r="1068" spans="1:11" s="1541" customFormat="1" ht="25.5">
      <c r="A1068" s="1518"/>
      <c r="B1068" s="1518"/>
      <c r="C1068" s="1522"/>
      <c r="D1068" s="1571" t="s">
        <v>5046</v>
      </c>
      <c r="E1068" s="1545"/>
      <c r="F1068" s="1594"/>
      <c r="G1068" s="1459"/>
      <c r="H1068" s="1557"/>
      <c r="J1068" s="1548"/>
      <c r="K1068" s="1591"/>
    </row>
    <row r="1069" spans="1:11" s="1541" customFormat="1" ht="25.5">
      <c r="A1069" s="1518"/>
      <c r="B1069" s="1518"/>
      <c r="C1069" s="1522"/>
      <c r="D1069" s="1571" t="s">
        <v>5047</v>
      </c>
      <c r="E1069" s="1545"/>
      <c r="F1069" s="1594"/>
      <c r="G1069" s="1459"/>
      <c r="H1069" s="1557"/>
      <c r="J1069" s="1548"/>
      <c r="K1069" s="1591"/>
    </row>
    <row r="1070" spans="1:11" s="1541" customFormat="1" ht="25.5">
      <c r="A1070" s="1518"/>
      <c r="B1070" s="1518"/>
      <c r="C1070" s="1522"/>
      <c r="D1070" s="1571" t="s">
        <v>5048</v>
      </c>
      <c r="E1070" s="1545"/>
      <c r="F1070" s="1594"/>
      <c r="G1070" s="1459"/>
      <c r="H1070" s="1557"/>
      <c r="J1070" s="1548"/>
      <c r="K1070" s="1591"/>
    </row>
    <row r="1071" spans="1:11" s="1541" customFormat="1">
      <c r="A1071" s="1518"/>
      <c r="B1071" s="1518"/>
      <c r="C1071" s="1522"/>
      <c r="D1071" s="1571" t="s">
        <v>5049</v>
      </c>
      <c r="E1071" s="1545"/>
      <c r="F1071" s="1594"/>
      <c r="G1071" s="1459"/>
      <c r="H1071" s="1557"/>
      <c r="J1071" s="1548"/>
      <c r="K1071" s="1591"/>
    </row>
    <row r="1072" spans="1:11" s="1541" customFormat="1">
      <c r="A1072" s="1518"/>
      <c r="B1072" s="1518"/>
      <c r="C1072" s="1522"/>
      <c r="D1072" s="1571" t="s">
        <v>5050</v>
      </c>
      <c r="E1072" s="1545"/>
      <c r="F1072" s="1594"/>
      <c r="G1072" s="1459"/>
      <c r="H1072" s="1557"/>
      <c r="J1072" s="1548"/>
      <c r="K1072" s="1591"/>
    </row>
    <row r="1073" spans="1:11" s="1541" customFormat="1">
      <c r="A1073" s="1518"/>
      <c r="B1073" s="1518"/>
      <c r="C1073" s="1522"/>
      <c r="D1073" s="1571" t="s">
        <v>5051</v>
      </c>
      <c r="E1073" s="1545"/>
      <c r="F1073" s="1594"/>
      <c r="G1073" s="1459"/>
      <c r="H1073" s="1557"/>
      <c r="J1073" s="1548"/>
      <c r="K1073" s="1591"/>
    </row>
    <row r="1074" spans="1:11" s="1541" customFormat="1" ht="25.5">
      <c r="A1074" s="1518"/>
      <c r="B1074" s="1518"/>
      <c r="C1074" s="1522"/>
      <c r="D1074" s="1571" t="s">
        <v>5052</v>
      </c>
      <c r="E1074" s="1545"/>
      <c r="F1074" s="1594"/>
      <c r="G1074" s="1459"/>
      <c r="H1074" s="1557"/>
      <c r="J1074" s="1548"/>
      <c r="K1074" s="1591"/>
    </row>
    <row r="1075" spans="1:11" s="1541" customFormat="1" ht="25.5">
      <c r="A1075" s="1518"/>
      <c r="B1075" s="1518"/>
      <c r="C1075" s="1522"/>
      <c r="D1075" s="1571" t="s">
        <v>5053</v>
      </c>
      <c r="E1075" s="1545"/>
      <c r="F1075" s="1594"/>
      <c r="G1075" s="1459"/>
      <c r="H1075" s="1557"/>
      <c r="J1075" s="1548"/>
      <c r="K1075" s="1591"/>
    </row>
    <row r="1076" spans="1:11" s="1541" customFormat="1" ht="25.5">
      <c r="A1076" s="1518"/>
      <c r="B1076" s="1518"/>
      <c r="C1076" s="1522"/>
      <c r="D1076" s="1571" t="s">
        <v>5054</v>
      </c>
      <c r="E1076" s="1545"/>
      <c r="F1076" s="1594"/>
      <c r="G1076" s="1459"/>
      <c r="H1076" s="1557"/>
      <c r="J1076" s="1548"/>
      <c r="K1076" s="1591"/>
    </row>
    <row r="1077" spans="1:11" s="1541" customFormat="1" ht="25.5">
      <c r="A1077" s="1518"/>
      <c r="B1077" s="1518"/>
      <c r="C1077" s="1522"/>
      <c r="D1077" s="1571" t="s">
        <v>5055</v>
      </c>
      <c r="E1077" s="1545"/>
      <c r="F1077" s="1594"/>
      <c r="G1077" s="1459"/>
      <c r="H1077" s="1557"/>
      <c r="J1077" s="1548"/>
      <c r="K1077" s="1591"/>
    </row>
    <row r="1078" spans="1:11" s="1541" customFormat="1" ht="25.5">
      <c r="A1078" s="1518"/>
      <c r="B1078" s="1518"/>
      <c r="C1078" s="1522"/>
      <c r="D1078" s="1571" t="s">
        <v>5056</v>
      </c>
      <c r="E1078" s="1545"/>
      <c r="F1078" s="1594"/>
      <c r="G1078" s="1459"/>
      <c r="H1078" s="1557"/>
      <c r="J1078" s="1548"/>
      <c r="K1078" s="1591"/>
    </row>
    <row r="1079" spans="1:11" s="1541" customFormat="1" ht="25.5">
      <c r="A1079" s="1518"/>
      <c r="B1079" s="1518"/>
      <c r="C1079" s="1522"/>
      <c r="D1079" s="1571" t="s">
        <v>5057</v>
      </c>
      <c r="E1079" s="1545"/>
      <c r="F1079" s="1594"/>
      <c r="G1079" s="1459"/>
      <c r="H1079" s="1557"/>
      <c r="J1079" s="1548"/>
      <c r="K1079" s="1591"/>
    </row>
    <row r="1080" spans="1:11" s="1541" customFormat="1" ht="25.5">
      <c r="A1080" s="1518"/>
      <c r="B1080" s="1518"/>
      <c r="C1080" s="1522"/>
      <c r="D1080" s="1571" t="s">
        <v>5058</v>
      </c>
      <c r="E1080" s="1545"/>
      <c r="F1080" s="1594"/>
      <c r="G1080" s="1459"/>
      <c r="H1080" s="1557"/>
      <c r="J1080" s="1548"/>
      <c r="K1080" s="1591"/>
    </row>
    <row r="1081" spans="1:11" s="1541" customFormat="1" ht="25.5">
      <c r="A1081" s="1518"/>
      <c r="B1081" s="1518"/>
      <c r="C1081" s="1522"/>
      <c r="D1081" s="1571" t="s">
        <v>5059</v>
      </c>
      <c r="E1081" s="1545"/>
      <c r="F1081" s="1594"/>
      <c r="G1081" s="1459"/>
      <c r="H1081" s="1557"/>
      <c r="J1081" s="1548"/>
      <c r="K1081" s="1591"/>
    </row>
    <row r="1082" spans="1:11" s="1541" customFormat="1" ht="25.5">
      <c r="A1082" s="1518"/>
      <c r="B1082" s="1518"/>
      <c r="C1082" s="1522"/>
      <c r="D1082" s="1571" t="s">
        <v>5060</v>
      </c>
      <c r="E1082" s="1545"/>
      <c r="F1082" s="1594"/>
      <c r="G1082" s="1459"/>
      <c r="H1082" s="1557"/>
      <c r="J1082" s="1548"/>
      <c r="K1082" s="1591"/>
    </row>
    <row r="1083" spans="1:11" s="1541" customFormat="1" ht="25.5">
      <c r="A1083" s="1518"/>
      <c r="B1083" s="1518"/>
      <c r="C1083" s="1522"/>
      <c r="D1083" s="1571" t="s">
        <v>5061</v>
      </c>
      <c r="E1083" s="1545"/>
      <c r="F1083" s="1594"/>
      <c r="G1083" s="1459"/>
      <c r="H1083" s="1557"/>
      <c r="J1083" s="1548"/>
      <c r="K1083" s="1591"/>
    </row>
    <row r="1084" spans="1:11" s="1541" customFormat="1" ht="25.5">
      <c r="A1084" s="1518"/>
      <c r="B1084" s="1518"/>
      <c r="C1084" s="1522"/>
      <c r="D1084" s="1571" t="s">
        <v>5062</v>
      </c>
      <c r="E1084" s="1545"/>
      <c r="F1084" s="1545"/>
      <c r="G1084" s="1459"/>
      <c r="H1084" s="1557"/>
      <c r="J1084" s="1548"/>
      <c r="K1084" s="1591"/>
    </row>
    <row r="1085" spans="1:11" s="1541" customFormat="1" ht="25.5">
      <c r="A1085" s="1518"/>
      <c r="B1085" s="1518"/>
      <c r="C1085" s="1522"/>
      <c r="D1085" s="1571" t="s">
        <v>5063</v>
      </c>
      <c r="E1085" s="1545"/>
      <c r="F1085" s="1594"/>
      <c r="G1085" s="1459"/>
      <c r="H1085" s="1557"/>
      <c r="J1085" s="1548"/>
      <c r="K1085" s="1591"/>
    </row>
    <row r="1086" spans="1:11" s="1541" customFormat="1" ht="25.5">
      <c r="A1086" s="1518"/>
      <c r="B1086" s="1518"/>
      <c r="C1086" s="1522"/>
      <c r="D1086" s="1571" t="s">
        <v>5064</v>
      </c>
      <c r="E1086" s="1545"/>
      <c r="F1086" s="1545"/>
      <c r="G1086" s="1459"/>
      <c r="H1086" s="1557"/>
      <c r="J1086" s="1548"/>
      <c r="K1086" s="1591"/>
    </row>
    <row r="1087" spans="1:11" s="1541" customFormat="1" ht="25.5">
      <c r="A1087" s="1518"/>
      <c r="B1087" s="1518"/>
      <c r="C1087" s="1522"/>
      <c r="D1087" s="1571" t="s">
        <v>5065</v>
      </c>
      <c r="E1087" s="1545"/>
      <c r="F1087" s="1545"/>
      <c r="G1087" s="1459"/>
      <c r="H1087" s="1557"/>
      <c r="J1087" s="1548"/>
      <c r="K1087" s="1591"/>
    </row>
    <row r="1088" spans="1:11" s="1541" customFormat="1" ht="38.25">
      <c r="A1088" s="1518"/>
      <c r="B1088" s="1518"/>
      <c r="C1088" s="1522"/>
      <c r="D1088" s="1571" t="s">
        <v>5066</v>
      </c>
      <c r="E1088" s="1545"/>
      <c r="F1088" s="1545"/>
      <c r="G1088" s="1459"/>
      <c r="H1088" s="1557"/>
      <c r="J1088" s="1548"/>
      <c r="K1088" s="1591"/>
    </row>
    <row r="1089" spans="1:11" s="1541" customFormat="1" ht="25.5">
      <c r="A1089" s="1518"/>
      <c r="B1089" s="1518"/>
      <c r="C1089" s="1522"/>
      <c r="D1089" s="1571" t="s">
        <v>5067</v>
      </c>
      <c r="E1089" s="1545"/>
      <c r="F1089" s="1545"/>
      <c r="G1089" s="1459"/>
      <c r="H1089" s="1557"/>
      <c r="J1089" s="1548"/>
      <c r="K1089" s="1591"/>
    </row>
    <row r="1090" spans="1:11" s="1541" customFormat="1" ht="25.5">
      <c r="A1090" s="1518"/>
      <c r="B1090" s="1518"/>
      <c r="C1090" s="1522"/>
      <c r="D1090" s="1571" t="s">
        <v>5068</v>
      </c>
      <c r="E1090" s="1545"/>
      <c r="F1090" s="1545"/>
      <c r="G1090" s="1459"/>
      <c r="H1090" s="1557"/>
      <c r="J1090" s="1548"/>
      <c r="K1090" s="1591"/>
    </row>
    <row r="1091" spans="1:11" s="1541" customFormat="1" ht="25.5">
      <c r="A1091" s="1518"/>
      <c r="B1091" s="1518"/>
      <c r="C1091" s="1522"/>
      <c r="D1091" s="1571" t="s">
        <v>5069</v>
      </c>
      <c r="E1091" s="1545"/>
      <c r="F1091" s="1545"/>
      <c r="G1091" s="1459"/>
      <c r="H1091" s="1557"/>
      <c r="J1091" s="1548"/>
      <c r="K1091" s="1591"/>
    </row>
    <row r="1092" spans="1:11" s="1541" customFormat="1" ht="25.5">
      <c r="A1092" s="1518"/>
      <c r="B1092" s="1518"/>
      <c r="C1092" s="1522"/>
      <c r="D1092" s="1571" t="s">
        <v>5070</v>
      </c>
      <c r="E1092" s="1545"/>
      <c r="F1092" s="1545"/>
      <c r="G1092" s="1459"/>
      <c r="H1092" s="1557"/>
      <c r="J1092" s="1548"/>
      <c r="K1092" s="1591"/>
    </row>
    <row r="1093" spans="1:11" s="1541" customFormat="1" ht="25.5">
      <c r="A1093" s="1518"/>
      <c r="B1093" s="1518"/>
      <c r="C1093" s="1522"/>
      <c r="D1093" s="1571" t="s">
        <v>5071</v>
      </c>
      <c r="E1093" s="1545"/>
      <c r="F1093" s="1545"/>
      <c r="G1093" s="1459"/>
      <c r="H1093" s="1557"/>
      <c r="J1093" s="1548"/>
      <c r="K1093" s="1591"/>
    </row>
    <row r="1094" spans="1:11" s="1541" customFormat="1" ht="25.5">
      <c r="A1094" s="1518"/>
      <c r="B1094" s="1518"/>
      <c r="C1094" s="1522"/>
      <c r="D1094" s="1571" t="s">
        <v>5072</v>
      </c>
      <c r="E1094" s="1545"/>
      <c r="F1094" s="1545"/>
      <c r="G1094" s="1459"/>
      <c r="H1094" s="1557"/>
      <c r="J1094" s="1548"/>
      <c r="K1094" s="1591"/>
    </row>
    <row r="1095" spans="1:11" s="1541" customFormat="1" ht="25.5">
      <c r="A1095" s="1518"/>
      <c r="B1095" s="1518"/>
      <c r="C1095" s="1522"/>
      <c r="D1095" s="1571" t="s">
        <v>5073</v>
      </c>
      <c r="E1095" s="1545"/>
      <c r="F1095" s="1545"/>
      <c r="G1095" s="1459"/>
      <c r="H1095" s="1557"/>
      <c r="J1095" s="1548"/>
      <c r="K1095" s="1591"/>
    </row>
    <row r="1096" spans="1:11" s="1541" customFormat="1" ht="25.5">
      <c r="A1096" s="1518"/>
      <c r="B1096" s="1518"/>
      <c r="C1096" s="1522"/>
      <c r="D1096" s="1571" t="s">
        <v>5074</v>
      </c>
      <c r="E1096" s="1545"/>
      <c r="F1096" s="1545"/>
      <c r="G1096" s="1459"/>
      <c r="H1096" s="1557"/>
      <c r="J1096" s="1548"/>
      <c r="K1096" s="1591"/>
    </row>
    <row r="1097" spans="1:11" s="1541" customFormat="1" ht="25.5">
      <c r="A1097" s="1518"/>
      <c r="B1097" s="1518"/>
      <c r="C1097" s="1522"/>
      <c r="D1097" s="1571" t="s">
        <v>5075</v>
      </c>
      <c r="E1097" s="1545"/>
      <c r="F1097" s="1545"/>
      <c r="G1097" s="1459"/>
      <c r="H1097" s="1557"/>
      <c r="J1097" s="1548"/>
      <c r="K1097" s="1591"/>
    </row>
    <row r="1098" spans="1:11" s="1541" customFormat="1" ht="25.5">
      <c r="A1098" s="1518"/>
      <c r="B1098" s="1518"/>
      <c r="C1098" s="1522"/>
      <c r="D1098" s="1571" t="s">
        <v>5076</v>
      </c>
      <c r="E1098" s="1545"/>
      <c r="F1098" s="1545"/>
      <c r="G1098" s="1459"/>
      <c r="H1098" s="1557"/>
      <c r="J1098" s="1548"/>
      <c r="K1098" s="1591"/>
    </row>
    <row r="1099" spans="1:11" s="1541" customFormat="1" ht="38.25">
      <c r="A1099" s="1518"/>
      <c r="B1099" s="1518"/>
      <c r="C1099" s="1522"/>
      <c r="D1099" s="1554" t="s">
        <v>5077</v>
      </c>
      <c r="E1099" s="1545"/>
      <c r="F1099" s="1545"/>
      <c r="G1099" s="1459"/>
      <c r="H1099" s="1557"/>
      <c r="J1099" s="1548"/>
      <c r="K1099" s="1591"/>
    </row>
    <row r="1100" spans="1:11" s="1541" customFormat="1" ht="127.5">
      <c r="A1100" s="1518"/>
      <c r="B1100" s="1518"/>
      <c r="C1100" s="1522"/>
      <c r="D1100" s="1554" t="s">
        <v>5078</v>
      </c>
      <c r="E1100" s="1545"/>
      <c r="F1100" s="1545"/>
      <c r="G1100" s="1459"/>
      <c r="H1100" s="1557"/>
      <c r="J1100" s="1548"/>
      <c r="K1100" s="1591"/>
    </row>
    <row r="1101" spans="1:11" s="1541" customFormat="1">
      <c r="A1101" s="1518"/>
      <c r="B1101" s="1518"/>
      <c r="C1101" s="1522" t="s">
        <v>55</v>
      </c>
      <c r="D1101" s="1516" t="s">
        <v>5079</v>
      </c>
      <c r="E1101" s="1545" t="s">
        <v>2243</v>
      </c>
      <c r="F1101" s="1545">
        <v>1</v>
      </c>
      <c r="G1101" s="1461"/>
      <c r="H1101" s="1557">
        <f>SUM(F1101*G1101)</f>
        <v>0</v>
      </c>
      <c r="J1101" s="1548"/>
      <c r="K1101" s="1591"/>
    </row>
    <row r="1102" spans="1:11" s="1541" customFormat="1">
      <c r="A1102" s="1518"/>
      <c r="B1102" s="1518"/>
      <c r="C1102" s="1522"/>
      <c r="D1102" s="1554"/>
      <c r="E1102" s="1545"/>
      <c r="F1102" s="1545"/>
      <c r="G1102" s="1459"/>
      <c r="H1102" s="1557"/>
      <c r="J1102" s="1548"/>
      <c r="K1102" s="1591"/>
    </row>
    <row r="1103" spans="1:11" s="1541" customFormat="1" ht="51">
      <c r="A1103" s="1518" t="str">
        <f>A1040</f>
        <v>H.</v>
      </c>
      <c r="B1103" s="1518" t="str">
        <f t="shared" ref="B1103" si="18">B1040</f>
        <v>3.</v>
      </c>
      <c r="C1103" s="1518">
        <f>C1040+1</f>
        <v>2</v>
      </c>
      <c r="D1103" s="1516" t="s">
        <v>5080</v>
      </c>
      <c r="E1103" s="1545"/>
      <c r="F1103" s="1594"/>
      <c r="G1103" s="1459"/>
      <c r="H1103" s="1557"/>
      <c r="J1103" s="1548"/>
      <c r="K1103" s="1591"/>
    </row>
    <row r="1104" spans="1:11" s="1541" customFormat="1" ht="191.25">
      <c r="A1104" s="1518"/>
      <c r="B1104" s="1518"/>
      <c r="C1104" s="1522"/>
      <c r="D1104" s="1596" t="s">
        <v>5081</v>
      </c>
      <c r="E1104" s="1545"/>
      <c r="F1104" s="1545"/>
      <c r="G1104" s="1459"/>
      <c r="H1104" s="1557"/>
      <c r="J1104" s="1548"/>
      <c r="K1104" s="1591"/>
    </row>
    <row r="1105" spans="1:11" s="1541" customFormat="1" ht="25.5">
      <c r="A1105" s="1518"/>
      <c r="B1105" s="1518"/>
      <c r="C1105" s="1522"/>
      <c r="D1105" s="1596" t="s">
        <v>5082</v>
      </c>
      <c r="E1105" s="1545"/>
      <c r="F1105" s="1545"/>
      <c r="G1105" s="1459"/>
      <c r="H1105" s="1557"/>
      <c r="J1105" s="1548"/>
      <c r="K1105" s="1591"/>
    </row>
    <row r="1106" spans="1:11" s="1541" customFormat="1" ht="25.5">
      <c r="A1106" s="1518"/>
      <c r="B1106" s="1518"/>
      <c r="C1106" s="1522"/>
      <c r="D1106" s="1596" t="s">
        <v>5083</v>
      </c>
      <c r="E1106" s="1545"/>
      <c r="F1106" s="1545"/>
      <c r="G1106" s="1459"/>
      <c r="H1106" s="1557"/>
      <c r="J1106" s="1548"/>
      <c r="K1106" s="1591"/>
    </row>
    <row r="1107" spans="1:11" s="1541" customFormat="1" ht="25.5">
      <c r="A1107" s="1518"/>
      <c r="B1107" s="1518"/>
      <c r="C1107" s="1522"/>
      <c r="D1107" s="1596" t="s">
        <v>5084</v>
      </c>
      <c r="E1107" s="1545"/>
      <c r="F1107" s="1545"/>
      <c r="G1107" s="1459"/>
      <c r="H1107" s="1557"/>
      <c r="J1107" s="1548"/>
      <c r="K1107" s="1591"/>
    </row>
    <row r="1108" spans="1:11" s="1541" customFormat="1" ht="25.5">
      <c r="A1108" s="1518"/>
      <c r="B1108" s="1518"/>
      <c r="C1108" s="1522"/>
      <c r="D1108" s="1596" t="s">
        <v>5085</v>
      </c>
      <c r="E1108" s="1545"/>
      <c r="F1108" s="1545"/>
      <c r="G1108" s="1459"/>
      <c r="H1108" s="1557"/>
      <c r="J1108" s="1548"/>
      <c r="K1108" s="1591"/>
    </row>
    <row r="1109" spans="1:11" s="1541" customFormat="1" ht="25.5">
      <c r="A1109" s="1518"/>
      <c r="B1109" s="1518"/>
      <c r="C1109" s="1522"/>
      <c r="D1109" s="1596" t="s">
        <v>5086</v>
      </c>
      <c r="E1109" s="1545"/>
      <c r="F1109" s="1545"/>
      <c r="G1109" s="1459"/>
      <c r="H1109" s="1557"/>
      <c r="J1109" s="1548"/>
      <c r="K1109" s="1591"/>
    </row>
    <row r="1110" spans="1:11" s="1541" customFormat="1" ht="25.5">
      <c r="A1110" s="1518"/>
      <c r="B1110" s="1518"/>
      <c r="C1110" s="1522"/>
      <c r="D1110" s="1596" t="s">
        <v>5087</v>
      </c>
      <c r="E1110" s="1545"/>
      <c r="F1110" s="1545"/>
      <c r="G1110" s="1459"/>
      <c r="H1110" s="1557"/>
      <c r="J1110" s="1548"/>
      <c r="K1110" s="1591"/>
    </row>
    <row r="1111" spans="1:11" s="1541" customFormat="1" ht="25.5">
      <c r="A1111" s="1518"/>
      <c r="B1111" s="1518"/>
      <c r="C1111" s="1522"/>
      <c r="D1111" s="1596" t="s">
        <v>5088</v>
      </c>
      <c r="E1111" s="1545"/>
      <c r="F1111" s="1545"/>
      <c r="G1111" s="1459"/>
      <c r="H1111" s="1557"/>
      <c r="J1111" s="1548"/>
      <c r="K1111" s="1591"/>
    </row>
    <row r="1112" spans="1:11" s="1541" customFormat="1" ht="25.5">
      <c r="A1112" s="1518"/>
      <c r="B1112" s="1518"/>
      <c r="C1112" s="1522"/>
      <c r="D1112" s="1596" t="s">
        <v>5089</v>
      </c>
      <c r="E1112" s="1545"/>
      <c r="F1112" s="1545"/>
      <c r="G1112" s="1459"/>
      <c r="H1112" s="1557"/>
      <c r="J1112" s="1548"/>
      <c r="K1112" s="1591"/>
    </row>
    <row r="1113" spans="1:11" s="1541" customFormat="1" ht="25.5">
      <c r="A1113" s="1518"/>
      <c r="B1113" s="1518"/>
      <c r="C1113" s="1522"/>
      <c r="D1113" s="1596" t="s">
        <v>5090</v>
      </c>
      <c r="E1113" s="1545"/>
      <c r="F1113" s="1545"/>
      <c r="G1113" s="1459"/>
      <c r="H1113" s="1557"/>
      <c r="J1113" s="1548"/>
      <c r="K1113" s="1591"/>
    </row>
    <row r="1114" spans="1:11" s="1541" customFormat="1" ht="25.5">
      <c r="A1114" s="1518"/>
      <c r="B1114" s="1518"/>
      <c r="C1114" s="1522"/>
      <c r="D1114" s="1596" t="s">
        <v>5091</v>
      </c>
      <c r="E1114" s="1545"/>
      <c r="F1114" s="1545"/>
      <c r="G1114" s="1459"/>
      <c r="H1114" s="1557"/>
      <c r="J1114" s="1548"/>
      <c r="K1114" s="1591"/>
    </row>
    <row r="1115" spans="1:11" s="1541" customFormat="1" ht="25.5">
      <c r="A1115" s="1518"/>
      <c r="B1115" s="1518"/>
      <c r="C1115" s="1522"/>
      <c r="D1115" s="1596" t="s">
        <v>5092</v>
      </c>
      <c r="E1115" s="1545"/>
      <c r="F1115" s="1545"/>
      <c r="G1115" s="1459"/>
      <c r="H1115" s="1557"/>
      <c r="J1115" s="1548"/>
      <c r="K1115" s="1591"/>
    </row>
    <row r="1116" spans="1:11" s="1541" customFormat="1" ht="25.5">
      <c r="A1116" s="1518"/>
      <c r="B1116" s="1518"/>
      <c r="C1116" s="1522"/>
      <c r="D1116" s="1596" t="s">
        <v>5093</v>
      </c>
      <c r="E1116" s="1545"/>
      <c r="F1116" s="1545"/>
      <c r="G1116" s="1459"/>
      <c r="H1116" s="1557"/>
      <c r="J1116" s="1548"/>
      <c r="K1116" s="1591"/>
    </row>
    <row r="1117" spans="1:11" s="1541" customFormat="1" ht="25.5">
      <c r="A1117" s="1518"/>
      <c r="B1117" s="1518"/>
      <c r="C1117" s="1522"/>
      <c r="D1117" s="1596" t="s">
        <v>5094</v>
      </c>
      <c r="E1117" s="1545"/>
      <c r="F1117" s="1545"/>
      <c r="G1117" s="1459"/>
      <c r="H1117" s="1557"/>
      <c r="J1117" s="1548"/>
      <c r="K1117" s="1591"/>
    </row>
    <row r="1118" spans="1:11" s="1541" customFormat="1" ht="25.5">
      <c r="A1118" s="1518"/>
      <c r="B1118" s="1518"/>
      <c r="C1118" s="1522"/>
      <c r="D1118" s="1596" t="s">
        <v>5095</v>
      </c>
      <c r="E1118" s="1545"/>
      <c r="F1118" s="1545"/>
      <c r="G1118" s="1459"/>
      <c r="H1118" s="1557"/>
      <c r="J1118" s="1548"/>
      <c r="K1118" s="1591"/>
    </row>
    <row r="1119" spans="1:11" s="1541" customFormat="1" ht="25.5">
      <c r="A1119" s="1518"/>
      <c r="B1119" s="1518"/>
      <c r="C1119" s="1522"/>
      <c r="D1119" s="1596" t="s">
        <v>5096</v>
      </c>
      <c r="E1119" s="1545"/>
      <c r="F1119" s="1545"/>
      <c r="G1119" s="1459"/>
      <c r="H1119" s="1557"/>
      <c r="J1119" s="1548"/>
      <c r="K1119" s="1591"/>
    </row>
    <row r="1120" spans="1:11" s="1541" customFormat="1" ht="25.5">
      <c r="A1120" s="1518"/>
      <c r="B1120" s="1518"/>
      <c r="C1120" s="1522"/>
      <c r="D1120" s="1596" t="s">
        <v>5097</v>
      </c>
      <c r="E1120" s="1545"/>
      <c r="F1120" s="1545"/>
      <c r="G1120" s="1459"/>
      <c r="H1120" s="1557"/>
      <c r="J1120" s="1548"/>
      <c r="K1120" s="1591"/>
    </row>
    <row r="1121" spans="1:11" s="1541" customFormat="1" ht="25.5">
      <c r="A1121" s="1518"/>
      <c r="B1121" s="1518"/>
      <c r="C1121" s="1522"/>
      <c r="D1121" s="1596" t="s">
        <v>5098</v>
      </c>
      <c r="E1121" s="1545"/>
      <c r="F1121" s="1545"/>
      <c r="G1121" s="1459"/>
      <c r="H1121" s="1557"/>
      <c r="J1121" s="1548"/>
      <c r="K1121" s="1591"/>
    </row>
    <row r="1122" spans="1:11" s="1541" customFormat="1" ht="25.5">
      <c r="A1122" s="1518"/>
      <c r="B1122" s="1518"/>
      <c r="C1122" s="1522"/>
      <c r="D1122" s="1596" t="s">
        <v>5099</v>
      </c>
      <c r="E1122" s="1545"/>
      <c r="F1122" s="1545"/>
      <c r="G1122" s="1459"/>
      <c r="H1122" s="1557"/>
      <c r="J1122" s="1548"/>
      <c r="K1122" s="1591"/>
    </row>
    <row r="1123" spans="1:11" s="1541" customFormat="1" ht="38.25">
      <c r="A1123" s="1518"/>
      <c r="B1123" s="1518"/>
      <c r="C1123" s="1522"/>
      <c r="D1123" s="1554" t="s">
        <v>5077</v>
      </c>
      <c r="E1123" s="1545"/>
      <c r="F1123" s="1545"/>
      <c r="G1123" s="1459"/>
      <c r="H1123" s="1557"/>
      <c r="J1123" s="1548"/>
      <c r="K1123" s="1591"/>
    </row>
    <row r="1124" spans="1:11" s="1541" customFormat="1" ht="127.5">
      <c r="A1124" s="1518"/>
      <c r="B1124" s="1518"/>
      <c r="C1124" s="1522"/>
      <c r="D1124" s="1554" t="s">
        <v>5100</v>
      </c>
      <c r="E1124" s="1594"/>
      <c r="F1124" s="1545"/>
      <c r="G1124" s="1459"/>
      <c r="H1124" s="1557"/>
      <c r="J1124" s="1548"/>
      <c r="K1124" s="1591"/>
    </row>
    <row r="1125" spans="1:11" s="1541" customFormat="1">
      <c r="A1125" s="1518"/>
      <c r="B1125" s="1518"/>
      <c r="C1125" s="1522" t="s">
        <v>55</v>
      </c>
      <c r="D1125" s="1516" t="s">
        <v>5101</v>
      </c>
      <c r="E1125" s="1545" t="s">
        <v>2243</v>
      </c>
      <c r="F1125" s="1545">
        <v>1</v>
      </c>
      <c r="G1125" s="1461"/>
      <c r="H1125" s="1557">
        <f>SUM(F1125*G1125)</f>
        <v>0</v>
      </c>
      <c r="J1125" s="1548"/>
      <c r="K1125" s="1591"/>
    </row>
    <row r="1126" spans="1:11" s="1541" customFormat="1">
      <c r="A1126" s="1518"/>
      <c r="B1126" s="1518"/>
      <c r="C1126" s="1522"/>
      <c r="D1126" s="1554"/>
      <c r="E1126" s="1545"/>
      <c r="F1126" s="1545"/>
      <c r="G1126" s="1459"/>
      <c r="H1126" s="1557"/>
      <c r="J1126" s="1548"/>
      <c r="K1126" s="1591"/>
    </row>
    <row r="1127" spans="1:11" s="1541" customFormat="1" ht="51">
      <c r="A1127" s="1518" t="str">
        <f>A1103</f>
        <v>H.</v>
      </c>
      <c r="B1127" s="1518" t="str">
        <f t="shared" ref="B1127" si="19">B1103</f>
        <v>3.</v>
      </c>
      <c r="C1127" s="1518">
        <f>C1103+1</f>
        <v>3</v>
      </c>
      <c r="D1127" s="1516" t="s">
        <v>5102</v>
      </c>
      <c r="E1127" s="1545"/>
      <c r="F1127" s="1594"/>
      <c r="G1127" s="1459"/>
      <c r="H1127" s="1557"/>
      <c r="J1127" s="1548"/>
      <c r="K1127" s="1591"/>
    </row>
    <row r="1128" spans="1:11" s="1541" customFormat="1" ht="191.25">
      <c r="A1128" s="1518"/>
      <c r="B1128" s="1518"/>
      <c r="C1128" s="1522"/>
      <c r="D1128" s="1571" t="s">
        <v>5103</v>
      </c>
      <c r="E1128" s="1545"/>
      <c r="F1128" s="1545"/>
      <c r="G1128" s="1459"/>
      <c r="H1128" s="1557"/>
      <c r="J1128" s="1548"/>
      <c r="K1128" s="1591"/>
    </row>
    <row r="1129" spans="1:11" s="1541" customFormat="1" ht="25.5">
      <c r="A1129" s="1518"/>
      <c r="B1129" s="1518"/>
      <c r="C1129" s="1522"/>
      <c r="D1129" s="1571" t="s">
        <v>5104</v>
      </c>
      <c r="E1129" s="1545"/>
      <c r="F1129" s="1545"/>
      <c r="G1129" s="1459"/>
      <c r="H1129" s="1557"/>
      <c r="J1129" s="1548"/>
      <c r="K1129" s="1591"/>
    </row>
    <row r="1130" spans="1:11" s="1541" customFormat="1" ht="25.5">
      <c r="A1130" s="1518"/>
      <c r="B1130" s="1518"/>
      <c r="C1130" s="1522"/>
      <c r="D1130" s="1571" t="s">
        <v>5086</v>
      </c>
      <c r="E1130" s="1545"/>
      <c r="F1130" s="1545"/>
      <c r="G1130" s="1459"/>
      <c r="H1130" s="1557"/>
      <c r="J1130" s="1548"/>
      <c r="K1130" s="1591"/>
    </row>
    <row r="1131" spans="1:11" s="1541" customFormat="1" ht="25.5">
      <c r="A1131" s="1518"/>
      <c r="B1131" s="1518"/>
      <c r="C1131" s="1522"/>
      <c r="D1131" s="1571" t="s">
        <v>5105</v>
      </c>
      <c r="E1131" s="1545"/>
      <c r="F1131" s="1545"/>
      <c r="G1131" s="1459"/>
      <c r="H1131" s="1557"/>
      <c r="J1131" s="1548"/>
      <c r="K1131" s="1591"/>
    </row>
    <row r="1132" spans="1:11" s="1541" customFormat="1" ht="25.5">
      <c r="A1132" s="1518"/>
      <c r="B1132" s="1518"/>
      <c r="C1132" s="1522"/>
      <c r="D1132" s="1571" t="s">
        <v>5063</v>
      </c>
      <c r="E1132" s="1545"/>
      <c r="F1132" s="1545"/>
      <c r="G1132" s="1459"/>
      <c r="H1132" s="1557"/>
      <c r="J1132" s="1548"/>
      <c r="K1132" s="1591"/>
    </row>
    <row r="1133" spans="1:11" s="1541" customFormat="1" ht="25.5">
      <c r="A1133" s="1518"/>
      <c r="B1133" s="1518"/>
      <c r="C1133" s="1522"/>
      <c r="D1133" s="1571" t="s">
        <v>5106</v>
      </c>
      <c r="E1133" s="1545"/>
      <c r="F1133" s="1545"/>
      <c r="G1133" s="1459"/>
      <c r="H1133" s="1557"/>
      <c r="J1133" s="1548"/>
      <c r="K1133" s="1591"/>
    </row>
    <row r="1134" spans="1:11" s="1541" customFormat="1" ht="25.5">
      <c r="A1134" s="1518"/>
      <c r="B1134" s="1518"/>
      <c r="C1134" s="1522"/>
      <c r="D1134" s="1571" t="s">
        <v>5107</v>
      </c>
      <c r="E1134" s="1545"/>
      <c r="F1134" s="1545"/>
      <c r="G1134" s="1459"/>
      <c r="H1134" s="1557"/>
      <c r="J1134" s="1548"/>
      <c r="K1134" s="1591"/>
    </row>
    <row r="1135" spans="1:11" s="1541" customFormat="1" ht="25.5">
      <c r="A1135" s="1518"/>
      <c r="B1135" s="1518"/>
      <c r="C1135" s="1522"/>
      <c r="D1135" s="1571" t="s">
        <v>5108</v>
      </c>
      <c r="E1135" s="1545"/>
      <c r="F1135" s="1545"/>
      <c r="G1135" s="1459"/>
      <c r="H1135" s="1557"/>
      <c r="J1135" s="1548"/>
      <c r="K1135" s="1591"/>
    </row>
    <row r="1136" spans="1:11" s="1541" customFormat="1" ht="25.5">
      <c r="A1136" s="1518"/>
      <c r="B1136" s="1518"/>
      <c r="C1136" s="1522"/>
      <c r="D1136" s="1571" t="s">
        <v>5109</v>
      </c>
      <c r="E1136" s="1545"/>
      <c r="F1136" s="1545"/>
      <c r="G1136" s="1459"/>
      <c r="H1136" s="1557"/>
      <c r="J1136" s="1548"/>
      <c r="K1136" s="1591"/>
    </row>
    <row r="1137" spans="1:11" s="1541" customFormat="1" ht="25.5">
      <c r="A1137" s="1518"/>
      <c r="B1137" s="1518"/>
      <c r="C1137" s="1522"/>
      <c r="D1137" s="1571" t="s">
        <v>5097</v>
      </c>
      <c r="E1137" s="1545"/>
      <c r="F1137" s="1545"/>
      <c r="G1137" s="1459"/>
      <c r="H1137" s="1557"/>
      <c r="J1137" s="1548"/>
      <c r="K1137" s="1591"/>
    </row>
    <row r="1138" spans="1:11" s="1541" customFormat="1" ht="25.5">
      <c r="A1138" s="1518"/>
      <c r="B1138" s="1518"/>
      <c r="C1138" s="1522"/>
      <c r="D1138" s="1571" t="s">
        <v>5110</v>
      </c>
      <c r="E1138" s="1545"/>
      <c r="F1138" s="1545"/>
      <c r="G1138" s="1459"/>
      <c r="H1138" s="1557"/>
      <c r="J1138" s="1548"/>
      <c r="K1138" s="1591"/>
    </row>
    <row r="1139" spans="1:11" s="1541" customFormat="1" ht="25.5">
      <c r="A1139" s="1518"/>
      <c r="B1139" s="1518"/>
      <c r="C1139" s="1522"/>
      <c r="D1139" s="1571" t="s">
        <v>5111</v>
      </c>
      <c r="E1139" s="1545"/>
      <c r="F1139" s="1545"/>
      <c r="G1139" s="1459"/>
      <c r="H1139" s="1557"/>
      <c r="J1139" s="1548"/>
      <c r="K1139" s="1591"/>
    </row>
    <row r="1140" spans="1:11" s="1541" customFormat="1" ht="25.5">
      <c r="A1140" s="1518"/>
      <c r="B1140" s="1518"/>
      <c r="C1140" s="1522"/>
      <c r="D1140" s="1571" t="s">
        <v>5112</v>
      </c>
      <c r="E1140" s="1545"/>
      <c r="F1140" s="1545"/>
      <c r="G1140" s="1459"/>
      <c r="H1140" s="1557"/>
      <c r="J1140" s="1548"/>
      <c r="K1140" s="1591"/>
    </row>
    <row r="1141" spans="1:11" s="1541" customFormat="1" ht="25.5">
      <c r="A1141" s="1518"/>
      <c r="B1141" s="1518"/>
      <c r="C1141" s="1522"/>
      <c r="D1141" s="1571" t="s">
        <v>5113</v>
      </c>
      <c r="E1141" s="1545"/>
      <c r="F1141" s="1545"/>
      <c r="G1141" s="1459"/>
      <c r="H1141" s="1557"/>
      <c r="J1141" s="1548"/>
      <c r="K1141" s="1591"/>
    </row>
    <row r="1142" spans="1:11" s="1541" customFormat="1" ht="25.5">
      <c r="A1142" s="1518"/>
      <c r="B1142" s="1518"/>
      <c r="C1142" s="1522"/>
      <c r="D1142" s="1571" t="s">
        <v>5114</v>
      </c>
      <c r="E1142" s="1545"/>
      <c r="F1142" s="1545"/>
      <c r="G1142" s="1459"/>
      <c r="H1142" s="1557"/>
      <c r="J1142" s="1548"/>
      <c r="K1142" s="1591"/>
    </row>
    <row r="1143" spans="1:11" s="1541" customFormat="1" ht="25.5">
      <c r="A1143" s="1518"/>
      <c r="B1143" s="1518"/>
      <c r="C1143" s="1522"/>
      <c r="D1143" s="1571" t="s">
        <v>5115</v>
      </c>
      <c r="E1143" s="1545"/>
      <c r="F1143" s="1545"/>
      <c r="G1143" s="1459"/>
      <c r="H1143" s="1557"/>
      <c r="J1143" s="1548"/>
      <c r="K1143" s="1591"/>
    </row>
    <row r="1144" spans="1:11" s="1541" customFormat="1" ht="25.5">
      <c r="A1144" s="1518"/>
      <c r="B1144" s="1518"/>
      <c r="C1144" s="1522"/>
      <c r="D1144" s="1571" t="s">
        <v>5116</v>
      </c>
      <c r="E1144" s="1545"/>
      <c r="F1144" s="1545"/>
      <c r="G1144" s="1459"/>
      <c r="H1144" s="1557"/>
      <c r="J1144" s="1548"/>
      <c r="K1144" s="1591"/>
    </row>
    <row r="1145" spans="1:11" s="1541" customFormat="1" ht="38.25">
      <c r="A1145" s="1518"/>
      <c r="B1145" s="1518"/>
      <c r="C1145" s="1522"/>
      <c r="D1145" s="1554" t="s">
        <v>5077</v>
      </c>
      <c r="E1145" s="1545"/>
      <c r="F1145" s="1545"/>
      <c r="G1145" s="1459"/>
      <c r="H1145" s="1557"/>
      <c r="J1145" s="1548"/>
      <c r="K1145" s="1591"/>
    </row>
    <row r="1146" spans="1:11" s="1541" customFormat="1" ht="127.5">
      <c r="A1146" s="1518"/>
      <c r="B1146" s="1518"/>
      <c r="C1146" s="1522"/>
      <c r="D1146" s="1554" t="s">
        <v>5100</v>
      </c>
      <c r="E1146" s="1594"/>
      <c r="F1146" s="1545"/>
      <c r="G1146" s="1459"/>
      <c r="H1146" s="1557"/>
      <c r="J1146" s="1548"/>
      <c r="K1146" s="1591"/>
    </row>
    <row r="1147" spans="1:11" s="1541" customFormat="1">
      <c r="A1147" s="1518"/>
      <c r="B1147" s="1518"/>
      <c r="C1147" s="1522" t="s">
        <v>55</v>
      </c>
      <c r="D1147" s="1516" t="s">
        <v>5117</v>
      </c>
      <c r="E1147" s="1545" t="s">
        <v>2243</v>
      </c>
      <c r="F1147" s="1545">
        <v>1</v>
      </c>
      <c r="G1147" s="1461"/>
      <c r="H1147" s="1557">
        <f>SUM(F1147*G1147)</f>
        <v>0</v>
      </c>
      <c r="J1147" s="1548"/>
      <c r="K1147" s="1591"/>
    </row>
    <row r="1148" spans="1:11" s="1541" customFormat="1">
      <c r="A1148" s="1518"/>
      <c r="B1148" s="1518"/>
      <c r="C1148" s="1522"/>
      <c r="D1148" s="1554"/>
      <c r="E1148" s="1545"/>
      <c r="F1148" s="1545"/>
      <c r="G1148" s="1459"/>
      <c r="H1148" s="1557"/>
      <c r="J1148" s="1548"/>
      <c r="K1148" s="1591"/>
    </row>
    <row r="1149" spans="1:11" s="1541" customFormat="1" ht="51">
      <c r="A1149" s="1518" t="str">
        <f>A1127</f>
        <v>H.</v>
      </c>
      <c r="B1149" s="1518" t="str">
        <f t="shared" ref="B1149" si="20">B1127</f>
        <v>3.</v>
      </c>
      <c r="C1149" s="1518">
        <f>C1127+1</f>
        <v>4</v>
      </c>
      <c r="D1149" s="1516" t="s">
        <v>5118</v>
      </c>
      <c r="E1149" s="1545"/>
      <c r="F1149" s="1594"/>
      <c r="G1149" s="1459"/>
      <c r="H1149" s="1557"/>
      <c r="J1149" s="1548"/>
      <c r="K1149" s="1591"/>
    </row>
    <row r="1150" spans="1:11" s="1541" customFormat="1" ht="178.5">
      <c r="A1150" s="1518"/>
      <c r="B1150" s="1518"/>
      <c r="C1150" s="1522"/>
      <c r="D1150" s="1571" t="s">
        <v>5119</v>
      </c>
      <c r="E1150" s="1545"/>
      <c r="F1150" s="1545"/>
      <c r="G1150" s="1459"/>
      <c r="H1150" s="1557"/>
      <c r="J1150" s="1548"/>
      <c r="K1150" s="1591"/>
    </row>
    <row r="1151" spans="1:11" s="1541" customFormat="1" ht="25.5">
      <c r="A1151" s="1518"/>
      <c r="B1151" s="1518"/>
      <c r="C1151" s="1522"/>
      <c r="D1151" s="1571" t="s">
        <v>5036</v>
      </c>
      <c r="E1151" s="1545"/>
      <c r="F1151" s="1545"/>
      <c r="G1151" s="1459"/>
      <c r="H1151" s="1557"/>
      <c r="J1151" s="1548"/>
      <c r="K1151" s="1591"/>
    </row>
    <row r="1152" spans="1:11" s="1541" customFormat="1" ht="25.5">
      <c r="A1152" s="1518"/>
      <c r="B1152" s="1518"/>
      <c r="C1152" s="1522"/>
      <c r="D1152" s="1571" t="s">
        <v>5104</v>
      </c>
      <c r="E1152" s="1545"/>
      <c r="F1152" s="1545"/>
      <c r="G1152" s="1459"/>
      <c r="H1152" s="1557"/>
      <c r="J1152" s="1548"/>
      <c r="K1152" s="1591"/>
    </row>
    <row r="1153" spans="1:11" s="1541" customFormat="1" ht="25.5">
      <c r="A1153" s="1518"/>
      <c r="B1153" s="1518"/>
      <c r="C1153" s="1522"/>
      <c r="D1153" s="1571" t="s">
        <v>5086</v>
      </c>
      <c r="E1153" s="1545"/>
      <c r="F1153" s="1545"/>
      <c r="G1153" s="1459"/>
      <c r="H1153" s="1557"/>
      <c r="J1153" s="1548"/>
      <c r="K1153" s="1591"/>
    </row>
    <row r="1154" spans="1:11" s="1541" customFormat="1" ht="25.5">
      <c r="A1154" s="1518"/>
      <c r="B1154" s="1518"/>
      <c r="C1154" s="1522"/>
      <c r="D1154" s="1571" t="s">
        <v>5120</v>
      </c>
      <c r="E1154" s="1545"/>
      <c r="F1154" s="1545"/>
      <c r="G1154" s="1459"/>
      <c r="H1154" s="1557"/>
      <c r="J1154" s="1548"/>
      <c r="K1154" s="1591"/>
    </row>
    <row r="1155" spans="1:11" s="1541" customFormat="1" ht="25.5">
      <c r="A1155" s="1518"/>
      <c r="B1155" s="1518"/>
      <c r="C1155" s="1522"/>
      <c r="D1155" s="1571" t="s">
        <v>5121</v>
      </c>
      <c r="E1155" s="1545"/>
      <c r="F1155" s="1545"/>
      <c r="G1155" s="1459"/>
      <c r="H1155" s="1557"/>
      <c r="J1155" s="1548"/>
      <c r="K1155" s="1591"/>
    </row>
    <row r="1156" spans="1:11" s="1541" customFormat="1" ht="25.5">
      <c r="A1156" s="1518"/>
      <c r="B1156" s="1518"/>
      <c r="C1156" s="1522"/>
      <c r="D1156" s="1571" t="s">
        <v>5122</v>
      </c>
      <c r="E1156" s="1545"/>
      <c r="F1156" s="1545"/>
      <c r="G1156" s="1459"/>
      <c r="H1156" s="1557"/>
      <c r="J1156" s="1548"/>
      <c r="K1156" s="1591"/>
    </row>
    <row r="1157" spans="1:11" s="1541" customFormat="1" ht="25.5">
      <c r="A1157" s="1518"/>
      <c r="B1157" s="1518"/>
      <c r="C1157" s="1522"/>
      <c r="D1157" s="1571" t="s">
        <v>5123</v>
      </c>
      <c r="E1157" s="1545"/>
      <c r="F1157" s="1545"/>
      <c r="G1157" s="1459"/>
      <c r="H1157" s="1557"/>
      <c r="J1157" s="1548"/>
      <c r="K1157" s="1591"/>
    </row>
    <row r="1158" spans="1:11" s="1541" customFormat="1" ht="25.5">
      <c r="A1158" s="1518"/>
      <c r="B1158" s="1518"/>
      <c r="C1158" s="1522"/>
      <c r="D1158" s="1571" t="s">
        <v>5124</v>
      </c>
      <c r="E1158" s="1545"/>
      <c r="F1158" s="1545"/>
      <c r="G1158" s="1459"/>
      <c r="H1158" s="1557"/>
      <c r="J1158" s="1548"/>
      <c r="K1158" s="1591"/>
    </row>
    <row r="1159" spans="1:11" s="1541" customFormat="1" ht="25.5">
      <c r="A1159" s="1518"/>
      <c r="B1159" s="1518"/>
      <c r="C1159" s="1522"/>
      <c r="D1159" s="1571" t="s">
        <v>5097</v>
      </c>
      <c r="E1159" s="1545"/>
      <c r="F1159" s="1545"/>
      <c r="G1159" s="1459"/>
      <c r="H1159" s="1557"/>
      <c r="J1159" s="1548"/>
      <c r="K1159" s="1591"/>
    </row>
    <row r="1160" spans="1:11" s="1541" customFormat="1" ht="25.5">
      <c r="A1160" s="1518"/>
      <c r="B1160" s="1518"/>
      <c r="C1160" s="1522"/>
      <c r="D1160" s="1571" t="s">
        <v>5125</v>
      </c>
      <c r="E1160" s="1545"/>
      <c r="F1160" s="1545"/>
      <c r="G1160" s="1459"/>
      <c r="H1160" s="1557"/>
      <c r="J1160" s="1548"/>
      <c r="K1160" s="1591"/>
    </row>
    <row r="1161" spans="1:11" s="1541" customFormat="1" ht="25.5">
      <c r="A1161" s="1518"/>
      <c r="B1161" s="1518"/>
      <c r="C1161" s="1522"/>
      <c r="D1161" s="1571" t="s">
        <v>5111</v>
      </c>
      <c r="E1161" s="1545"/>
      <c r="F1161" s="1545"/>
      <c r="G1161" s="1459"/>
      <c r="H1161" s="1557"/>
      <c r="J1161" s="1548"/>
      <c r="K1161" s="1591"/>
    </row>
    <row r="1162" spans="1:11" s="1541" customFormat="1" ht="25.5">
      <c r="A1162" s="1518"/>
      <c r="B1162" s="1518"/>
      <c r="C1162" s="1522"/>
      <c r="D1162" s="1571" t="s">
        <v>5126</v>
      </c>
      <c r="E1162" s="1545"/>
      <c r="F1162" s="1545"/>
      <c r="G1162" s="1459"/>
      <c r="H1162" s="1557"/>
      <c r="J1162" s="1548"/>
      <c r="K1162" s="1591"/>
    </row>
    <row r="1163" spans="1:11" s="1541" customFormat="1" ht="25.5">
      <c r="A1163" s="1518"/>
      <c r="B1163" s="1518"/>
      <c r="C1163" s="1522"/>
      <c r="D1163" s="1571" t="s">
        <v>5114</v>
      </c>
      <c r="E1163" s="1545"/>
      <c r="F1163" s="1545"/>
      <c r="G1163" s="1459"/>
      <c r="H1163" s="1557"/>
      <c r="J1163" s="1548"/>
      <c r="K1163" s="1591"/>
    </row>
    <row r="1164" spans="1:11" s="1541" customFormat="1" ht="25.5">
      <c r="A1164" s="1518"/>
      <c r="B1164" s="1518"/>
      <c r="C1164" s="1522"/>
      <c r="D1164" s="1571" t="s">
        <v>5127</v>
      </c>
      <c r="E1164" s="1545"/>
      <c r="F1164" s="1545"/>
      <c r="G1164" s="1459"/>
      <c r="H1164" s="1557"/>
      <c r="J1164" s="1548"/>
      <c r="K1164" s="1591"/>
    </row>
    <row r="1165" spans="1:11" s="1541" customFormat="1" ht="38.25">
      <c r="A1165" s="1518"/>
      <c r="B1165" s="1518"/>
      <c r="C1165" s="1522"/>
      <c r="D1165" s="1554" t="s">
        <v>5128</v>
      </c>
      <c r="E1165" s="1545"/>
      <c r="F1165" s="1545"/>
      <c r="G1165" s="1459"/>
      <c r="H1165" s="1557"/>
      <c r="J1165" s="1548"/>
      <c r="K1165" s="1591"/>
    </row>
    <row r="1166" spans="1:11" s="1541" customFormat="1" ht="114.75">
      <c r="A1166" s="1518"/>
      <c r="B1166" s="1518"/>
      <c r="C1166" s="1522"/>
      <c r="D1166" s="1554" t="s">
        <v>5129</v>
      </c>
      <c r="E1166" s="1594"/>
      <c r="F1166" s="1545"/>
      <c r="G1166" s="1459"/>
      <c r="H1166" s="1557"/>
      <c r="J1166" s="1548"/>
      <c r="K1166" s="1591"/>
    </row>
    <row r="1167" spans="1:11" s="1541" customFormat="1">
      <c r="A1167" s="1518"/>
      <c r="B1167" s="1518"/>
      <c r="C1167" s="1522" t="s">
        <v>55</v>
      </c>
      <c r="D1167" s="1516" t="s">
        <v>5130</v>
      </c>
      <c r="E1167" s="1545" t="s">
        <v>2243</v>
      </c>
      <c r="F1167" s="1545">
        <v>1</v>
      </c>
      <c r="G1167" s="1461"/>
      <c r="H1167" s="1557">
        <f>SUM(F1167*G1167)</f>
        <v>0</v>
      </c>
      <c r="J1167" s="1548"/>
      <c r="K1167" s="1591"/>
    </row>
    <row r="1168" spans="1:11" s="1541" customFormat="1">
      <c r="A1168" s="1518"/>
      <c r="B1168" s="1518"/>
      <c r="C1168" s="1522"/>
      <c r="D1168" s="1554"/>
      <c r="E1168" s="1563"/>
      <c r="F1168" s="1545"/>
      <c r="G1168" s="1459"/>
      <c r="H1168" s="1557"/>
      <c r="J1168" s="1548"/>
      <c r="K1168" s="1591"/>
    </row>
    <row r="1169" spans="1:11" s="1541" customFormat="1" ht="51">
      <c r="A1169" s="1518" t="str">
        <f>A1149</f>
        <v>H.</v>
      </c>
      <c r="B1169" s="1518" t="str">
        <f t="shared" ref="B1169" si="21">B1149</f>
        <v>3.</v>
      </c>
      <c r="C1169" s="1518">
        <f>C1149+1</f>
        <v>5</v>
      </c>
      <c r="D1169" s="1516" t="s">
        <v>5131</v>
      </c>
      <c r="E1169" s="1545"/>
      <c r="F1169" s="1545"/>
      <c r="G1169" s="1459"/>
      <c r="H1169" s="1557"/>
      <c r="J1169" s="1548"/>
      <c r="K1169" s="1591"/>
    </row>
    <row r="1170" spans="1:11" s="1541" customFormat="1" ht="178.5">
      <c r="A1170" s="1518"/>
      <c r="B1170" s="1518"/>
      <c r="C1170" s="1522"/>
      <c r="D1170" s="1571" t="s">
        <v>5132</v>
      </c>
      <c r="E1170" s="1545"/>
      <c r="F1170" s="1545"/>
      <c r="G1170" s="1459"/>
      <c r="H1170" s="1557"/>
      <c r="J1170" s="1548"/>
      <c r="K1170" s="1591"/>
    </row>
    <row r="1171" spans="1:11" s="1541" customFormat="1" ht="25.5">
      <c r="A1171" s="1518"/>
      <c r="B1171" s="1518"/>
      <c r="C1171" s="1522"/>
      <c r="D1171" s="1571" t="s">
        <v>5036</v>
      </c>
      <c r="E1171" s="1545"/>
      <c r="F1171" s="1545"/>
      <c r="G1171" s="1459"/>
      <c r="H1171" s="1557"/>
      <c r="J1171" s="1548"/>
      <c r="K1171" s="1591"/>
    </row>
    <row r="1172" spans="1:11" s="1541" customFormat="1" ht="25.5">
      <c r="A1172" s="1518"/>
      <c r="B1172" s="1518"/>
      <c r="C1172" s="1522"/>
      <c r="D1172" s="1571" t="s">
        <v>5104</v>
      </c>
      <c r="E1172" s="1545"/>
      <c r="F1172" s="1545"/>
      <c r="G1172" s="1459"/>
      <c r="H1172" s="1557"/>
      <c r="J1172" s="1548"/>
      <c r="K1172" s="1591"/>
    </row>
    <row r="1173" spans="1:11" s="1541" customFormat="1" ht="25.5">
      <c r="A1173" s="1518"/>
      <c r="B1173" s="1518"/>
      <c r="C1173" s="1522"/>
      <c r="D1173" s="1571" t="s">
        <v>5086</v>
      </c>
      <c r="E1173" s="1545"/>
      <c r="F1173" s="1545"/>
      <c r="G1173" s="1459"/>
      <c r="H1173" s="1557"/>
      <c r="J1173" s="1548"/>
      <c r="K1173" s="1591"/>
    </row>
    <row r="1174" spans="1:11" s="1541" customFormat="1" ht="25.5">
      <c r="A1174" s="1518"/>
      <c r="B1174" s="1518"/>
      <c r="C1174" s="1522"/>
      <c r="D1174" s="1571" t="s">
        <v>5120</v>
      </c>
      <c r="E1174" s="1545"/>
      <c r="F1174" s="1545"/>
      <c r="G1174" s="1459"/>
      <c r="H1174" s="1557"/>
      <c r="J1174" s="1548"/>
      <c r="K1174" s="1591"/>
    </row>
    <row r="1175" spans="1:11" s="1541" customFormat="1" ht="25.5">
      <c r="A1175" s="1518"/>
      <c r="B1175" s="1518"/>
      <c r="C1175" s="1522"/>
      <c r="D1175" s="1571" t="s">
        <v>5121</v>
      </c>
      <c r="E1175" s="1545"/>
      <c r="F1175" s="1545"/>
      <c r="G1175" s="1459"/>
      <c r="H1175" s="1557"/>
      <c r="J1175" s="1548"/>
      <c r="K1175" s="1591"/>
    </row>
    <row r="1176" spans="1:11" s="1541" customFormat="1" ht="25.5">
      <c r="A1176" s="1518"/>
      <c r="B1176" s="1518"/>
      <c r="C1176" s="1522"/>
      <c r="D1176" s="1571" t="s">
        <v>5069</v>
      </c>
      <c r="E1176" s="1545"/>
      <c r="F1176" s="1545"/>
      <c r="G1176" s="1459"/>
      <c r="H1176" s="1557"/>
      <c r="J1176" s="1548"/>
      <c r="K1176" s="1591"/>
    </row>
    <row r="1177" spans="1:11" s="1541" customFormat="1" ht="25.5">
      <c r="A1177" s="1518"/>
      <c r="B1177" s="1518"/>
      <c r="C1177" s="1522"/>
      <c r="D1177" s="1571" t="s">
        <v>5133</v>
      </c>
      <c r="E1177" s="1545"/>
      <c r="F1177" s="1545"/>
      <c r="G1177" s="1459"/>
      <c r="H1177" s="1557"/>
      <c r="J1177" s="1548"/>
      <c r="K1177" s="1591"/>
    </row>
    <row r="1178" spans="1:11" s="1541" customFormat="1" ht="25.5">
      <c r="A1178" s="1518"/>
      <c r="B1178" s="1518"/>
      <c r="C1178" s="1522"/>
      <c r="D1178" s="1571" t="s">
        <v>5134</v>
      </c>
      <c r="E1178" s="1545"/>
      <c r="F1178" s="1545"/>
      <c r="G1178" s="1459"/>
      <c r="H1178" s="1557"/>
      <c r="J1178" s="1548"/>
      <c r="K1178" s="1591"/>
    </row>
    <row r="1179" spans="1:11" s="1541" customFormat="1" ht="25.5">
      <c r="A1179" s="1518"/>
      <c r="B1179" s="1518"/>
      <c r="C1179" s="1522"/>
      <c r="D1179" s="1571" t="s">
        <v>5135</v>
      </c>
      <c r="E1179" s="1545"/>
      <c r="F1179" s="1545"/>
      <c r="G1179" s="1459"/>
      <c r="H1179" s="1557"/>
      <c r="J1179" s="1548"/>
      <c r="K1179" s="1591"/>
    </row>
    <row r="1180" spans="1:11" s="1541" customFormat="1" ht="25.5">
      <c r="A1180" s="1518"/>
      <c r="B1180" s="1518"/>
      <c r="C1180" s="1522"/>
      <c r="D1180" s="1571" t="s">
        <v>5097</v>
      </c>
      <c r="E1180" s="1545"/>
      <c r="F1180" s="1545"/>
      <c r="G1180" s="1459"/>
      <c r="H1180" s="1557"/>
      <c r="J1180" s="1548"/>
      <c r="K1180" s="1591"/>
    </row>
    <row r="1181" spans="1:11" s="1541" customFormat="1" ht="25.5">
      <c r="A1181" s="1518"/>
      <c r="B1181" s="1518"/>
      <c r="C1181" s="1522"/>
      <c r="D1181" s="1571" t="s">
        <v>5136</v>
      </c>
      <c r="E1181" s="1545"/>
      <c r="F1181" s="1545"/>
      <c r="G1181" s="1459"/>
      <c r="H1181" s="1557"/>
      <c r="J1181" s="1548"/>
      <c r="K1181" s="1591"/>
    </row>
    <row r="1182" spans="1:11" s="1541" customFormat="1" ht="25.5">
      <c r="A1182" s="1518"/>
      <c r="B1182" s="1518"/>
      <c r="C1182" s="1522"/>
      <c r="D1182" s="1571" t="s">
        <v>5114</v>
      </c>
      <c r="E1182" s="1545"/>
      <c r="F1182" s="1545"/>
      <c r="G1182" s="1459"/>
      <c r="H1182" s="1557"/>
      <c r="J1182" s="1548"/>
      <c r="K1182" s="1591"/>
    </row>
    <row r="1183" spans="1:11" s="1541" customFormat="1" ht="25.5">
      <c r="A1183" s="1518"/>
      <c r="B1183" s="1518"/>
      <c r="C1183" s="1522"/>
      <c r="D1183" s="1571" t="s">
        <v>5127</v>
      </c>
      <c r="E1183" s="1545"/>
      <c r="F1183" s="1545"/>
      <c r="G1183" s="1459"/>
      <c r="H1183" s="1557"/>
      <c r="J1183" s="1548"/>
      <c r="K1183" s="1591"/>
    </row>
    <row r="1184" spans="1:11" s="1541" customFormat="1" ht="38.25">
      <c r="A1184" s="1518"/>
      <c r="B1184" s="1518"/>
      <c r="C1184" s="1522"/>
      <c r="D1184" s="1554" t="s">
        <v>5128</v>
      </c>
      <c r="E1184" s="1545"/>
      <c r="F1184" s="1545"/>
      <c r="G1184" s="1459"/>
      <c r="H1184" s="1557"/>
      <c r="J1184" s="1548"/>
      <c r="K1184" s="1591"/>
    </row>
    <row r="1185" spans="1:11" s="1541" customFormat="1" ht="114.75">
      <c r="A1185" s="1518"/>
      <c r="B1185" s="1518"/>
      <c r="C1185" s="1522"/>
      <c r="D1185" s="1554" t="s">
        <v>5137</v>
      </c>
      <c r="E1185" s="1594"/>
      <c r="F1185" s="1545"/>
      <c r="G1185" s="1459"/>
      <c r="H1185" s="1557"/>
      <c r="J1185" s="1548"/>
      <c r="K1185" s="1591"/>
    </row>
    <row r="1186" spans="1:11" s="1541" customFormat="1">
      <c r="A1186" s="1518"/>
      <c r="B1186" s="1518"/>
      <c r="C1186" s="1522" t="s">
        <v>55</v>
      </c>
      <c r="D1186" s="1516" t="s">
        <v>5138</v>
      </c>
      <c r="E1186" s="1545" t="s">
        <v>2243</v>
      </c>
      <c r="F1186" s="1545">
        <v>1</v>
      </c>
      <c r="G1186" s="1461"/>
      <c r="H1186" s="1557">
        <f>SUM(F1186*G1186)</f>
        <v>0</v>
      </c>
      <c r="J1186" s="1548"/>
      <c r="K1186" s="1591"/>
    </row>
    <row r="1187" spans="1:11" s="1541" customFormat="1">
      <c r="A1187" s="1518"/>
      <c r="B1187" s="1518"/>
      <c r="C1187" s="1522"/>
      <c r="D1187" s="1554"/>
      <c r="E1187" s="1563"/>
      <c r="F1187" s="1545"/>
      <c r="G1187" s="1459"/>
      <c r="H1187" s="1557"/>
      <c r="J1187" s="1548"/>
      <c r="K1187" s="1591"/>
    </row>
    <row r="1188" spans="1:11" s="1541" customFormat="1" ht="51">
      <c r="A1188" s="1518" t="str">
        <f>A1169</f>
        <v>H.</v>
      </c>
      <c r="B1188" s="1518" t="str">
        <f t="shared" ref="B1188" si="22">B1169</f>
        <v>3.</v>
      </c>
      <c r="C1188" s="1518">
        <f>C1169+1</f>
        <v>6</v>
      </c>
      <c r="D1188" s="1516" t="s">
        <v>5139</v>
      </c>
      <c r="E1188" s="1545"/>
      <c r="F1188" s="1545"/>
      <c r="G1188" s="1459"/>
      <c r="H1188" s="1557"/>
      <c r="J1188" s="1548"/>
      <c r="K1188" s="1591"/>
    </row>
    <row r="1189" spans="1:11" s="1541" customFormat="1" ht="191.25">
      <c r="A1189" s="1518"/>
      <c r="B1189" s="1518"/>
      <c r="C1189" s="1522"/>
      <c r="D1189" s="1571" t="s">
        <v>5140</v>
      </c>
      <c r="E1189" s="1545"/>
      <c r="F1189" s="1545"/>
      <c r="G1189" s="1459"/>
      <c r="H1189" s="1557"/>
      <c r="J1189" s="1548"/>
      <c r="K1189" s="1591"/>
    </row>
    <row r="1190" spans="1:11" s="1541" customFormat="1" ht="25.5">
      <c r="A1190" s="1518"/>
      <c r="B1190" s="1518"/>
      <c r="C1190" s="1522"/>
      <c r="D1190" s="1571" t="s">
        <v>5054</v>
      </c>
      <c r="E1190" s="1545"/>
      <c r="F1190" s="1545"/>
      <c r="G1190" s="1459"/>
      <c r="H1190" s="1557"/>
      <c r="J1190" s="1548"/>
      <c r="K1190" s="1591"/>
    </row>
    <row r="1191" spans="1:11" s="1541" customFormat="1" ht="25.5">
      <c r="A1191" s="1518"/>
      <c r="B1191" s="1518"/>
      <c r="C1191" s="1522"/>
      <c r="D1191" s="1571" t="s">
        <v>5141</v>
      </c>
      <c r="E1191" s="1545"/>
      <c r="F1191" s="1545"/>
      <c r="G1191" s="1459"/>
      <c r="H1191" s="1557"/>
      <c r="J1191" s="1548"/>
      <c r="K1191" s="1591"/>
    </row>
    <row r="1192" spans="1:11" s="1541" customFormat="1" ht="25.5">
      <c r="A1192" s="1518"/>
      <c r="B1192" s="1518"/>
      <c r="C1192" s="1522"/>
      <c r="D1192" s="1571" t="s">
        <v>5142</v>
      </c>
      <c r="E1192" s="1545"/>
      <c r="F1192" s="1545"/>
      <c r="G1192" s="1459"/>
      <c r="H1192" s="1557"/>
      <c r="J1192" s="1548"/>
      <c r="K1192" s="1591"/>
    </row>
    <row r="1193" spans="1:11" s="1541" customFormat="1" ht="25.5">
      <c r="A1193" s="1518"/>
      <c r="B1193" s="1518"/>
      <c r="C1193" s="1522"/>
      <c r="D1193" s="1571" t="s">
        <v>5143</v>
      </c>
      <c r="E1193" s="1545"/>
      <c r="F1193" s="1545"/>
      <c r="G1193" s="1459"/>
      <c r="H1193" s="1557"/>
      <c r="J1193" s="1548"/>
      <c r="K1193" s="1591"/>
    </row>
    <row r="1194" spans="1:11" s="1541" customFormat="1" ht="25.5">
      <c r="A1194" s="1518"/>
      <c r="B1194" s="1518"/>
      <c r="C1194" s="1522"/>
      <c r="D1194" s="1571" t="s">
        <v>5063</v>
      </c>
      <c r="E1194" s="1545"/>
      <c r="F1194" s="1545"/>
      <c r="G1194" s="1459"/>
      <c r="H1194" s="1557"/>
      <c r="J1194" s="1548"/>
      <c r="K1194" s="1591"/>
    </row>
    <row r="1195" spans="1:11" s="1541" customFormat="1" ht="25.5">
      <c r="A1195" s="1518"/>
      <c r="B1195" s="1518"/>
      <c r="C1195" s="1522"/>
      <c r="D1195" s="1571" t="s">
        <v>5144</v>
      </c>
      <c r="E1195" s="1545"/>
      <c r="F1195" s="1545"/>
      <c r="G1195" s="1459"/>
      <c r="H1195" s="1557"/>
      <c r="J1195" s="1548"/>
      <c r="K1195" s="1591"/>
    </row>
    <row r="1196" spans="1:11" s="1541" customFormat="1" ht="25.5">
      <c r="A1196" s="1518"/>
      <c r="B1196" s="1518"/>
      <c r="C1196" s="1522"/>
      <c r="D1196" s="1571" t="s">
        <v>5145</v>
      </c>
      <c r="E1196" s="1545"/>
      <c r="F1196" s="1545"/>
      <c r="G1196" s="1459"/>
      <c r="H1196" s="1557"/>
      <c r="J1196" s="1548"/>
      <c r="K1196" s="1591"/>
    </row>
    <row r="1197" spans="1:11" s="1541" customFormat="1" ht="25.5">
      <c r="A1197" s="1518"/>
      <c r="B1197" s="1518"/>
      <c r="C1197" s="1522"/>
      <c r="D1197" s="1571" t="s">
        <v>5146</v>
      </c>
      <c r="E1197" s="1545"/>
      <c r="F1197" s="1545"/>
      <c r="G1197" s="1459"/>
      <c r="H1197" s="1557"/>
      <c r="J1197" s="1548"/>
      <c r="K1197" s="1591"/>
    </row>
    <row r="1198" spans="1:11" s="1541" customFormat="1" ht="25.5">
      <c r="A1198" s="1518"/>
      <c r="B1198" s="1518"/>
      <c r="C1198" s="1522"/>
      <c r="D1198" s="1571" t="s">
        <v>5147</v>
      </c>
      <c r="E1198" s="1545"/>
      <c r="F1198" s="1545"/>
      <c r="G1198" s="1459"/>
      <c r="H1198" s="1557"/>
      <c r="J1198" s="1548"/>
      <c r="K1198" s="1591"/>
    </row>
    <row r="1199" spans="1:11" s="1541" customFormat="1" ht="25.5">
      <c r="A1199" s="1518"/>
      <c r="B1199" s="1518"/>
      <c r="C1199" s="1522"/>
      <c r="D1199" s="1571" t="s">
        <v>5148</v>
      </c>
      <c r="E1199" s="1545"/>
      <c r="F1199" s="1545"/>
      <c r="G1199" s="1459"/>
      <c r="H1199" s="1557"/>
      <c r="J1199" s="1548"/>
      <c r="K1199" s="1591"/>
    </row>
    <row r="1200" spans="1:11" s="1541" customFormat="1" ht="25.5">
      <c r="A1200" s="1518"/>
      <c r="B1200" s="1518"/>
      <c r="C1200" s="1522"/>
      <c r="D1200" s="1571" t="s">
        <v>5149</v>
      </c>
      <c r="E1200" s="1545"/>
      <c r="F1200" s="1545"/>
      <c r="G1200" s="1459"/>
      <c r="H1200" s="1557"/>
      <c r="J1200" s="1548"/>
      <c r="K1200" s="1591"/>
    </row>
    <row r="1201" spans="1:11" s="1541" customFormat="1" ht="25.5">
      <c r="A1201" s="1518"/>
      <c r="B1201" s="1518"/>
      <c r="C1201" s="1522"/>
      <c r="D1201" s="1571" t="s">
        <v>5150</v>
      </c>
      <c r="E1201" s="1545"/>
      <c r="F1201" s="1545"/>
      <c r="G1201" s="1459"/>
      <c r="H1201" s="1557"/>
      <c r="J1201" s="1548"/>
      <c r="K1201" s="1591"/>
    </row>
    <row r="1202" spans="1:11" s="1541" customFormat="1" ht="25.5">
      <c r="A1202" s="1518"/>
      <c r="B1202" s="1518"/>
      <c r="C1202" s="1522"/>
      <c r="D1202" s="1571" t="s">
        <v>5097</v>
      </c>
      <c r="E1202" s="1545"/>
      <c r="F1202" s="1545"/>
      <c r="G1202" s="1459"/>
      <c r="H1202" s="1557"/>
      <c r="J1202" s="1548"/>
      <c r="K1202" s="1591"/>
    </row>
    <row r="1203" spans="1:11" s="1541" customFormat="1" ht="25.5">
      <c r="A1203" s="1518"/>
      <c r="B1203" s="1518"/>
      <c r="C1203" s="1522"/>
      <c r="D1203" s="1571" t="s">
        <v>5110</v>
      </c>
      <c r="E1203" s="1545"/>
      <c r="F1203" s="1545"/>
      <c r="G1203" s="1459"/>
      <c r="H1203" s="1557"/>
      <c r="J1203" s="1548"/>
      <c r="K1203" s="1591"/>
    </row>
    <row r="1204" spans="1:11" s="1541" customFormat="1" ht="25.5">
      <c r="A1204" s="1518"/>
      <c r="B1204" s="1518"/>
      <c r="C1204" s="1522"/>
      <c r="D1204" s="1571" t="s">
        <v>5151</v>
      </c>
      <c r="E1204" s="1545"/>
      <c r="F1204" s="1545"/>
      <c r="G1204" s="1459"/>
      <c r="H1204" s="1557"/>
      <c r="J1204" s="1548"/>
      <c r="K1204" s="1591"/>
    </row>
    <row r="1205" spans="1:11" s="1541" customFormat="1" ht="25.5">
      <c r="A1205" s="1518"/>
      <c r="B1205" s="1518"/>
      <c r="C1205" s="1522"/>
      <c r="D1205" s="1571" t="s">
        <v>5152</v>
      </c>
      <c r="E1205" s="1545"/>
      <c r="F1205" s="1545"/>
      <c r="G1205" s="1459"/>
      <c r="H1205" s="1557"/>
      <c r="J1205" s="1548"/>
      <c r="K1205" s="1591"/>
    </row>
    <row r="1206" spans="1:11" s="1541" customFormat="1" ht="25.5">
      <c r="A1206" s="1518"/>
      <c r="B1206" s="1518"/>
      <c r="C1206" s="1522"/>
      <c r="D1206" s="1571" t="s">
        <v>5153</v>
      </c>
      <c r="E1206" s="1545"/>
      <c r="F1206" s="1545"/>
      <c r="G1206" s="1459"/>
      <c r="H1206" s="1557"/>
      <c r="J1206" s="1548"/>
      <c r="K1206" s="1591"/>
    </row>
    <row r="1207" spans="1:11" s="1541" customFormat="1" ht="25.5">
      <c r="A1207" s="1518"/>
      <c r="B1207" s="1518"/>
      <c r="C1207" s="1522"/>
      <c r="D1207" s="1571" t="s">
        <v>5154</v>
      </c>
      <c r="E1207" s="1545"/>
      <c r="F1207" s="1545"/>
      <c r="G1207" s="1459"/>
      <c r="H1207" s="1557"/>
      <c r="J1207" s="1548"/>
      <c r="K1207" s="1591"/>
    </row>
    <row r="1208" spans="1:11" s="1541" customFormat="1" ht="25.5">
      <c r="A1208" s="1518"/>
      <c r="B1208" s="1518"/>
      <c r="C1208" s="1522"/>
      <c r="D1208" s="1571" t="s">
        <v>5114</v>
      </c>
      <c r="E1208" s="1545"/>
      <c r="F1208" s="1545"/>
      <c r="G1208" s="1459"/>
      <c r="H1208" s="1557"/>
      <c r="J1208" s="1548"/>
      <c r="K1208" s="1591"/>
    </row>
    <row r="1209" spans="1:11" s="1541" customFormat="1" ht="25.5">
      <c r="A1209" s="1518"/>
      <c r="B1209" s="1518"/>
      <c r="C1209" s="1522"/>
      <c r="D1209" s="1571" t="s">
        <v>5155</v>
      </c>
      <c r="E1209" s="1545"/>
      <c r="F1209" s="1545"/>
      <c r="G1209" s="1459"/>
      <c r="H1209" s="1557"/>
      <c r="J1209" s="1548"/>
      <c r="K1209" s="1591"/>
    </row>
    <row r="1210" spans="1:11" s="1541" customFormat="1" ht="38.25">
      <c r="A1210" s="1518"/>
      <c r="B1210" s="1518"/>
      <c r="C1210" s="1522"/>
      <c r="D1210" s="1554" t="s">
        <v>5128</v>
      </c>
      <c r="E1210" s="1545"/>
      <c r="F1210" s="1545"/>
      <c r="G1210" s="1459"/>
      <c r="H1210" s="1557"/>
      <c r="J1210" s="1548"/>
      <c r="K1210" s="1591"/>
    </row>
    <row r="1211" spans="1:11" s="1541" customFormat="1" ht="114.75">
      <c r="A1211" s="1518"/>
      <c r="B1211" s="1518"/>
      <c r="C1211" s="1522"/>
      <c r="D1211" s="1554" t="s">
        <v>5137</v>
      </c>
      <c r="E1211" s="1594"/>
      <c r="F1211" s="1545"/>
      <c r="G1211" s="1459"/>
      <c r="H1211" s="1557"/>
      <c r="J1211" s="1548"/>
      <c r="K1211" s="1591"/>
    </row>
    <row r="1212" spans="1:11" s="1541" customFormat="1">
      <c r="A1212" s="1518"/>
      <c r="B1212" s="1518"/>
      <c r="C1212" s="1522" t="s">
        <v>55</v>
      </c>
      <c r="D1212" s="1516" t="s">
        <v>5156</v>
      </c>
      <c r="E1212" s="1545" t="s">
        <v>2243</v>
      </c>
      <c r="F1212" s="1545">
        <v>1</v>
      </c>
      <c r="G1212" s="1461"/>
      <c r="H1212" s="1557">
        <f>SUM(F1212*G1212)</f>
        <v>0</v>
      </c>
      <c r="J1212" s="1548"/>
      <c r="K1212" s="1591"/>
    </row>
    <row r="1213" spans="1:11" s="1541" customFormat="1">
      <c r="A1213" s="1518"/>
      <c r="B1213" s="1518"/>
      <c r="C1213" s="1522"/>
      <c r="D1213" s="1554"/>
      <c r="E1213" s="1563"/>
      <c r="F1213" s="1545"/>
      <c r="G1213" s="1459"/>
      <c r="H1213" s="1557"/>
      <c r="J1213" s="1548"/>
      <c r="K1213" s="1591"/>
    </row>
    <row r="1214" spans="1:11" s="1541" customFormat="1" ht="51">
      <c r="A1214" s="1518" t="str">
        <f>A1188</f>
        <v>H.</v>
      </c>
      <c r="B1214" s="1518" t="str">
        <f>B1188</f>
        <v>3.</v>
      </c>
      <c r="C1214" s="1518">
        <f>C1188+1</f>
        <v>7</v>
      </c>
      <c r="D1214" s="1516" t="s">
        <v>5157</v>
      </c>
      <c r="E1214" s="1545"/>
      <c r="F1214" s="1545"/>
      <c r="G1214" s="1459"/>
      <c r="H1214" s="1557"/>
      <c r="J1214" s="1548"/>
      <c r="K1214" s="1591"/>
    </row>
    <row r="1215" spans="1:11" s="1541" customFormat="1" ht="191.25">
      <c r="A1215" s="1518"/>
      <c r="B1215" s="1518"/>
      <c r="C1215" s="1522"/>
      <c r="D1215" s="1571" t="s">
        <v>5158</v>
      </c>
      <c r="E1215" s="1545"/>
      <c r="F1215" s="1545"/>
      <c r="G1215" s="1459"/>
      <c r="H1215" s="1557"/>
      <c r="J1215" s="1548"/>
      <c r="K1215" s="1591"/>
    </row>
    <row r="1216" spans="1:11" s="1541" customFormat="1" ht="25.5">
      <c r="A1216" s="1518"/>
      <c r="B1216" s="1518"/>
      <c r="C1216" s="1522"/>
      <c r="D1216" s="1571" t="s">
        <v>5159</v>
      </c>
      <c r="E1216" s="1545"/>
      <c r="F1216" s="1545"/>
      <c r="G1216" s="1459"/>
      <c r="H1216" s="1557"/>
      <c r="J1216" s="1548"/>
      <c r="K1216" s="1591"/>
    </row>
    <row r="1217" spans="1:11" s="1541" customFormat="1" ht="25.5">
      <c r="A1217" s="1518"/>
      <c r="B1217" s="1518"/>
      <c r="C1217" s="1522"/>
      <c r="D1217" s="1571" t="s">
        <v>5054</v>
      </c>
      <c r="E1217" s="1545"/>
      <c r="F1217" s="1545"/>
      <c r="G1217" s="1459"/>
      <c r="H1217" s="1557"/>
      <c r="J1217" s="1548"/>
      <c r="K1217" s="1591"/>
    </row>
    <row r="1218" spans="1:11" s="1541" customFormat="1" ht="25.5">
      <c r="A1218" s="1518"/>
      <c r="B1218" s="1518"/>
      <c r="C1218" s="1522"/>
      <c r="D1218" s="1571" t="s">
        <v>5141</v>
      </c>
      <c r="E1218" s="1545"/>
      <c r="F1218" s="1545"/>
      <c r="G1218" s="1459"/>
      <c r="H1218" s="1557"/>
      <c r="J1218" s="1548"/>
      <c r="K1218" s="1591"/>
    </row>
    <row r="1219" spans="1:11" s="1541" customFormat="1" ht="25.5">
      <c r="A1219" s="1518"/>
      <c r="B1219" s="1518"/>
      <c r="C1219" s="1522"/>
      <c r="D1219" s="1571" t="s">
        <v>5142</v>
      </c>
      <c r="E1219" s="1545"/>
      <c r="F1219" s="1545"/>
      <c r="G1219" s="1459"/>
      <c r="H1219" s="1557"/>
      <c r="J1219" s="1548"/>
      <c r="K1219" s="1591"/>
    </row>
    <row r="1220" spans="1:11" s="1541" customFormat="1" ht="25.5">
      <c r="A1220" s="1518"/>
      <c r="B1220" s="1518"/>
      <c r="C1220" s="1522"/>
      <c r="D1220" s="1571" t="s">
        <v>5063</v>
      </c>
      <c r="E1220" s="1545"/>
      <c r="F1220" s="1545"/>
      <c r="G1220" s="1459"/>
      <c r="H1220" s="1557"/>
      <c r="J1220" s="1548"/>
      <c r="K1220" s="1591"/>
    </row>
    <row r="1221" spans="1:11" s="1541" customFormat="1" ht="25.5">
      <c r="A1221" s="1518"/>
      <c r="B1221" s="1518"/>
      <c r="C1221" s="1522"/>
      <c r="D1221" s="1571" t="s">
        <v>5160</v>
      </c>
      <c r="E1221" s="1545"/>
      <c r="F1221" s="1545"/>
      <c r="G1221" s="1459"/>
      <c r="H1221" s="1557"/>
      <c r="J1221" s="1548"/>
      <c r="K1221" s="1591"/>
    </row>
    <row r="1222" spans="1:11" s="1541" customFormat="1" ht="25.5">
      <c r="A1222" s="1518"/>
      <c r="B1222" s="1518"/>
      <c r="C1222" s="1522"/>
      <c r="D1222" s="1571" t="s">
        <v>5068</v>
      </c>
      <c r="E1222" s="1545"/>
      <c r="F1222" s="1545"/>
      <c r="G1222" s="1459"/>
      <c r="H1222" s="1557"/>
      <c r="J1222" s="1548"/>
      <c r="K1222" s="1591"/>
    </row>
    <row r="1223" spans="1:11" s="1541" customFormat="1" ht="25.5">
      <c r="A1223" s="1518"/>
      <c r="B1223" s="1518"/>
      <c r="C1223" s="1522"/>
      <c r="D1223" s="1571" t="s">
        <v>5122</v>
      </c>
      <c r="E1223" s="1545"/>
      <c r="F1223" s="1545"/>
      <c r="G1223" s="1459"/>
      <c r="H1223" s="1557"/>
      <c r="J1223" s="1548"/>
      <c r="K1223" s="1591"/>
    </row>
    <row r="1224" spans="1:11" s="1541" customFormat="1" ht="25.5">
      <c r="A1224" s="1518"/>
      <c r="B1224" s="1518"/>
      <c r="C1224" s="1522"/>
      <c r="D1224" s="1571" t="s">
        <v>5148</v>
      </c>
      <c r="E1224" s="1545"/>
      <c r="F1224" s="1545"/>
      <c r="G1224" s="1459"/>
      <c r="H1224" s="1557"/>
      <c r="J1224" s="1548"/>
      <c r="K1224" s="1591"/>
    </row>
    <row r="1225" spans="1:11" s="1541" customFormat="1" ht="25.5">
      <c r="A1225" s="1518"/>
      <c r="B1225" s="1518"/>
      <c r="C1225" s="1522"/>
      <c r="D1225" s="1571" t="s">
        <v>5124</v>
      </c>
      <c r="E1225" s="1545"/>
      <c r="F1225" s="1545"/>
      <c r="G1225" s="1459"/>
      <c r="H1225" s="1557"/>
      <c r="J1225" s="1548"/>
      <c r="K1225" s="1591"/>
    </row>
    <row r="1226" spans="1:11" s="1541" customFormat="1" ht="25.5">
      <c r="A1226" s="1518"/>
      <c r="B1226" s="1518"/>
      <c r="C1226" s="1522"/>
      <c r="D1226" s="1571" t="s">
        <v>5161</v>
      </c>
      <c r="E1226" s="1545"/>
      <c r="F1226" s="1545"/>
      <c r="G1226" s="1459"/>
      <c r="H1226" s="1557"/>
      <c r="J1226" s="1548"/>
      <c r="K1226" s="1591"/>
    </row>
    <row r="1227" spans="1:11" s="1541" customFormat="1" ht="25.5">
      <c r="A1227" s="1518"/>
      <c r="B1227" s="1518"/>
      <c r="C1227" s="1522"/>
      <c r="D1227" s="1571" t="s">
        <v>5097</v>
      </c>
      <c r="E1227" s="1545"/>
      <c r="F1227" s="1545"/>
      <c r="G1227" s="1459"/>
      <c r="H1227" s="1557"/>
      <c r="J1227" s="1548"/>
      <c r="K1227" s="1591"/>
    </row>
    <row r="1228" spans="1:11" s="1541" customFormat="1" ht="25.5">
      <c r="A1228" s="1518"/>
      <c r="B1228" s="1518"/>
      <c r="C1228" s="1522"/>
      <c r="D1228" s="1571" t="s">
        <v>5110</v>
      </c>
      <c r="E1228" s="1545"/>
      <c r="F1228" s="1545"/>
      <c r="G1228" s="1459"/>
      <c r="H1228" s="1557"/>
      <c r="J1228" s="1548"/>
      <c r="K1228" s="1591"/>
    </row>
    <row r="1229" spans="1:11" s="1541" customFormat="1" ht="25.5">
      <c r="A1229" s="1518"/>
      <c r="B1229" s="1518"/>
      <c r="C1229" s="1522"/>
      <c r="D1229" s="1571" t="s">
        <v>5162</v>
      </c>
      <c r="E1229" s="1545"/>
      <c r="F1229" s="1545"/>
      <c r="G1229" s="1459"/>
      <c r="H1229" s="1557"/>
      <c r="J1229" s="1548"/>
      <c r="K1229" s="1591"/>
    </row>
    <row r="1230" spans="1:11" s="1541" customFormat="1" ht="25.5">
      <c r="A1230" s="1518"/>
      <c r="B1230" s="1518"/>
      <c r="C1230" s="1522"/>
      <c r="D1230" s="1571" t="s">
        <v>5163</v>
      </c>
      <c r="E1230" s="1545"/>
      <c r="F1230" s="1545"/>
      <c r="G1230" s="1459"/>
      <c r="H1230" s="1557"/>
      <c r="J1230" s="1548"/>
      <c r="K1230" s="1591"/>
    </row>
    <row r="1231" spans="1:11" s="1541" customFormat="1" ht="25.5">
      <c r="A1231" s="1518"/>
      <c r="B1231" s="1518"/>
      <c r="C1231" s="1522"/>
      <c r="D1231" s="1571" t="s">
        <v>5164</v>
      </c>
      <c r="E1231" s="1545"/>
      <c r="F1231" s="1545"/>
      <c r="G1231" s="1459"/>
      <c r="H1231" s="1557"/>
      <c r="J1231" s="1548"/>
      <c r="K1231" s="1591"/>
    </row>
    <row r="1232" spans="1:11" s="1541" customFormat="1" ht="25.5">
      <c r="A1232" s="1518"/>
      <c r="B1232" s="1518"/>
      <c r="C1232" s="1522"/>
      <c r="D1232" s="1571" t="s">
        <v>5155</v>
      </c>
      <c r="E1232" s="1545"/>
      <c r="F1232" s="1545"/>
      <c r="G1232" s="1459"/>
      <c r="H1232" s="1557"/>
      <c r="J1232" s="1548"/>
      <c r="K1232" s="1591"/>
    </row>
    <row r="1233" spans="1:11" s="1541" customFormat="1" ht="38.25">
      <c r="A1233" s="1518"/>
      <c r="B1233" s="1518"/>
      <c r="C1233" s="1522"/>
      <c r="D1233" s="1554" t="s">
        <v>5128</v>
      </c>
      <c r="E1233" s="1545"/>
      <c r="F1233" s="1545"/>
      <c r="G1233" s="1459"/>
      <c r="H1233" s="1557"/>
      <c r="J1233" s="1548"/>
      <c r="K1233" s="1591"/>
    </row>
    <row r="1234" spans="1:11" s="1541" customFormat="1" ht="114.75">
      <c r="A1234" s="1518"/>
      <c r="B1234" s="1518"/>
      <c r="C1234" s="1522"/>
      <c r="D1234" s="1554" t="s">
        <v>5137</v>
      </c>
      <c r="E1234" s="1594"/>
      <c r="F1234" s="1545"/>
      <c r="G1234" s="1459"/>
      <c r="H1234" s="1557"/>
      <c r="J1234" s="1548"/>
      <c r="K1234" s="1591"/>
    </row>
    <row r="1235" spans="1:11" s="1541" customFormat="1">
      <c r="A1235" s="1518"/>
      <c r="B1235" s="1518"/>
      <c r="C1235" s="1522" t="s">
        <v>55</v>
      </c>
      <c r="D1235" s="1516" t="s">
        <v>5165</v>
      </c>
      <c r="E1235" s="1545" t="s">
        <v>2243</v>
      </c>
      <c r="F1235" s="1545">
        <v>1</v>
      </c>
      <c r="G1235" s="1461"/>
      <c r="H1235" s="1557">
        <f>SUM(F1235*G1235)</f>
        <v>0</v>
      </c>
      <c r="J1235" s="1548"/>
      <c r="K1235" s="1591"/>
    </row>
    <row r="1236" spans="1:11" s="1541" customFormat="1">
      <c r="A1236" s="1518"/>
      <c r="B1236" s="1518"/>
      <c r="C1236" s="1522"/>
      <c r="D1236" s="1554"/>
      <c r="E1236" s="1563"/>
      <c r="F1236" s="1545"/>
      <c r="G1236" s="1459"/>
      <c r="H1236" s="1557"/>
      <c r="J1236" s="1548"/>
      <c r="K1236" s="1591"/>
    </row>
    <row r="1237" spans="1:11" s="1541" customFormat="1" ht="51">
      <c r="A1237" s="1518" t="str">
        <f>A1214</f>
        <v>H.</v>
      </c>
      <c r="B1237" s="1518" t="str">
        <f>B1214</f>
        <v>3.</v>
      </c>
      <c r="C1237" s="1518">
        <f>C1214+1</f>
        <v>8</v>
      </c>
      <c r="D1237" s="1516" t="s">
        <v>5166</v>
      </c>
      <c r="E1237" s="1545"/>
      <c r="F1237" s="1545"/>
      <c r="G1237" s="1459"/>
      <c r="H1237" s="1557"/>
      <c r="J1237" s="1548"/>
      <c r="K1237" s="1591"/>
    </row>
    <row r="1238" spans="1:11" s="1541" customFormat="1" ht="191.25">
      <c r="A1238" s="1518"/>
      <c r="B1238" s="1518"/>
      <c r="C1238" s="1522"/>
      <c r="D1238" s="1571" t="s">
        <v>5167</v>
      </c>
      <c r="E1238" s="1545"/>
      <c r="F1238" s="1545"/>
      <c r="G1238" s="1459"/>
      <c r="H1238" s="1557"/>
      <c r="J1238" s="1548"/>
      <c r="K1238" s="1591"/>
    </row>
    <row r="1239" spans="1:11" s="1541" customFormat="1" ht="25.5">
      <c r="A1239" s="1518"/>
      <c r="B1239" s="1518"/>
      <c r="C1239" s="1522"/>
      <c r="D1239" s="1571" t="s">
        <v>5159</v>
      </c>
      <c r="E1239" s="1545"/>
      <c r="F1239" s="1545"/>
      <c r="G1239" s="1459"/>
      <c r="H1239" s="1557"/>
      <c r="J1239" s="1548"/>
      <c r="K1239" s="1591"/>
    </row>
    <row r="1240" spans="1:11" s="1541" customFormat="1" ht="25.5">
      <c r="A1240" s="1518"/>
      <c r="B1240" s="1518"/>
      <c r="C1240" s="1522"/>
      <c r="D1240" s="1571" t="s">
        <v>5104</v>
      </c>
      <c r="E1240" s="1545"/>
      <c r="F1240" s="1545"/>
      <c r="G1240" s="1459"/>
      <c r="H1240" s="1557"/>
      <c r="J1240" s="1548"/>
      <c r="K1240" s="1591"/>
    </row>
    <row r="1241" spans="1:11" s="1541" customFormat="1" ht="25.5">
      <c r="A1241" s="1518"/>
      <c r="B1241" s="1518"/>
      <c r="C1241" s="1522"/>
      <c r="D1241" s="1571" t="s">
        <v>5086</v>
      </c>
      <c r="E1241" s="1545"/>
      <c r="F1241" s="1545"/>
      <c r="G1241" s="1459"/>
      <c r="H1241" s="1557"/>
      <c r="J1241" s="1548"/>
      <c r="K1241" s="1591"/>
    </row>
    <row r="1242" spans="1:11" s="1541" customFormat="1" ht="25.5">
      <c r="A1242" s="1518"/>
      <c r="B1242" s="1518"/>
      <c r="C1242" s="1522"/>
      <c r="D1242" s="1571" t="s">
        <v>5063</v>
      </c>
      <c r="E1242" s="1545"/>
      <c r="F1242" s="1545"/>
      <c r="G1242" s="1459"/>
      <c r="H1242" s="1557"/>
      <c r="J1242" s="1548"/>
      <c r="K1242" s="1591"/>
    </row>
    <row r="1243" spans="1:11" s="1541" customFormat="1" ht="25.5">
      <c r="A1243" s="1518"/>
      <c r="B1243" s="1518"/>
      <c r="C1243" s="1522"/>
      <c r="D1243" s="1571" t="s">
        <v>5168</v>
      </c>
      <c r="E1243" s="1545"/>
      <c r="F1243" s="1545"/>
      <c r="G1243" s="1459"/>
      <c r="H1243" s="1557"/>
      <c r="J1243" s="1548"/>
      <c r="K1243" s="1591"/>
    </row>
    <row r="1244" spans="1:11" s="1541" customFormat="1" ht="25.5">
      <c r="A1244" s="1518"/>
      <c r="B1244" s="1518"/>
      <c r="C1244" s="1522"/>
      <c r="D1244" s="1571" t="s">
        <v>5122</v>
      </c>
      <c r="E1244" s="1545"/>
      <c r="F1244" s="1545"/>
      <c r="G1244" s="1459"/>
      <c r="H1244" s="1557"/>
      <c r="J1244" s="1548"/>
      <c r="K1244" s="1591"/>
    </row>
    <row r="1245" spans="1:11" s="1541" customFormat="1" ht="25.5">
      <c r="A1245" s="1518"/>
      <c r="B1245" s="1518"/>
      <c r="C1245" s="1522"/>
      <c r="D1245" s="1571" t="s">
        <v>5169</v>
      </c>
      <c r="E1245" s="1545"/>
      <c r="F1245" s="1545"/>
      <c r="G1245" s="1459"/>
      <c r="H1245" s="1557"/>
      <c r="J1245" s="1548"/>
      <c r="K1245" s="1591"/>
    </row>
    <row r="1246" spans="1:11" s="1541" customFormat="1" ht="25.5">
      <c r="A1246" s="1518"/>
      <c r="B1246" s="1518"/>
      <c r="C1246" s="1522"/>
      <c r="D1246" s="1571" t="s">
        <v>5170</v>
      </c>
      <c r="E1246" s="1545"/>
      <c r="F1246" s="1545"/>
      <c r="G1246" s="1459"/>
      <c r="H1246" s="1557"/>
      <c r="J1246" s="1548"/>
      <c r="K1246" s="1591"/>
    </row>
    <row r="1247" spans="1:11" s="1541" customFormat="1" ht="25.5">
      <c r="A1247" s="1518"/>
      <c r="B1247" s="1518"/>
      <c r="C1247" s="1522"/>
      <c r="D1247" s="1571" t="s">
        <v>5097</v>
      </c>
      <c r="E1247" s="1545"/>
      <c r="F1247" s="1545"/>
      <c r="G1247" s="1459"/>
      <c r="H1247" s="1557"/>
      <c r="J1247" s="1548"/>
      <c r="K1247" s="1591"/>
    </row>
    <row r="1248" spans="1:11" s="1541" customFormat="1" ht="25.5">
      <c r="A1248" s="1518"/>
      <c r="B1248" s="1518"/>
      <c r="C1248" s="1522"/>
      <c r="D1248" s="1571" t="s">
        <v>5110</v>
      </c>
      <c r="E1248" s="1545"/>
      <c r="F1248" s="1545"/>
      <c r="G1248" s="1459"/>
      <c r="H1248" s="1557"/>
      <c r="J1248" s="1548"/>
      <c r="K1248" s="1591"/>
    </row>
    <row r="1249" spans="1:11" s="1541" customFormat="1" ht="25.5">
      <c r="A1249" s="1518"/>
      <c r="B1249" s="1518"/>
      <c r="C1249" s="1522"/>
      <c r="D1249" s="1571" t="s">
        <v>5111</v>
      </c>
      <c r="E1249" s="1545"/>
      <c r="F1249" s="1545"/>
      <c r="G1249" s="1459"/>
      <c r="H1249" s="1557"/>
      <c r="J1249" s="1548"/>
      <c r="K1249" s="1591"/>
    </row>
    <row r="1250" spans="1:11" s="1541" customFormat="1" ht="25.5">
      <c r="A1250" s="1518"/>
      <c r="B1250" s="1518"/>
      <c r="C1250" s="1522"/>
      <c r="D1250" s="1571" t="s">
        <v>5171</v>
      </c>
      <c r="E1250" s="1545"/>
      <c r="F1250" s="1545"/>
      <c r="G1250" s="1459"/>
      <c r="H1250" s="1557"/>
      <c r="J1250" s="1548"/>
      <c r="K1250" s="1591"/>
    </row>
    <row r="1251" spans="1:11" s="1541" customFormat="1" ht="25.5">
      <c r="A1251" s="1518"/>
      <c r="B1251" s="1518"/>
      <c r="C1251" s="1522"/>
      <c r="D1251" s="1571" t="s">
        <v>5114</v>
      </c>
      <c r="E1251" s="1545"/>
      <c r="F1251" s="1545"/>
      <c r="G1251" s="1459"/>
      <c r="H1251" s="1557"/>
      <c r="J1251" s="1548"/>
      <c r="K1251" s="1591"/>
    </row>
    <row r="1252" spans="1:11" s="1541" customFormat="1" ht="25.5">
      <c r="A1252" s="1518"/>
      <c r="B1252" s="1518"/>
      <c r="C1252" s="1522"/>
      <c r="D1252" s="1571" t="s">
        <v>5127</v>
      </c>
      <c r="E1252" s="1545"/>
      <c r="F1252" s="1545"/>
      <c r="G1252" s="1459"/>
      <c r="H1252" s="1557"/>
      <c r="J1252" s="1548"/>
      <c r="K1252" s="1591"/>
    </row>
    <row r="1253" spans="1:11" s="1541" customFormat="1" ht="38.25">
      <c r="A1253" s="1518"/>
      <c r="B1253" s="1518"/>
      <c r="C1253" s="1522"/>
      <c r="D1253" s="1554" t="s">
        <v>5128</v>
      </c>
      <c r="E1253" s="1545"/>
      <c r="F1253" s="1545"/>
      <c r="G1253" s="1459"/>
      <c r="H1253" s="1557"/>
      <c r="J1253" s="1548"/>
      <c r="K1253" s="1591"/>
    </row>
    <row r="1254" spans="1:11" s="1541" customFormat="1" ht="114.75">
      <c r="A1254" s="1518"/>
      <c r="B1254" s="1518"/>
      <c r="C1254" s="1522"/>
      <c r="D1254" s="1554" t="s">
        <v>5137</v>
      </c>
      <c r="E1254" s="1594"/>
      <c r="F1254" s="1545"/>
      <c r="G1254" s="1459"/>
      <c r="H1254" s="1557"/>
      <c r="J1254" s="1548"/>
      <c r="K1254" s="1591"/>
    </row>
    <row r="1255" spans="1:11" s="1541" customFormat="1">
      <c r="A1255" s="1518"/>
      <c r="B1255" s="1518"/>
      <c r="C1255" s="1522" t="s">
        <v>55</v>
      </c>
      <c r="D1255" s="1516" t="s">
        <v>5172</v>
      </c>
      <c r="E1255" s="1545" t="s">
        <v>2243</v>
      </c>
      <c r="F1255" s="1545">
        <v>1</v>
      </c>
      <c r="G1255" s="1461"/>
      <c r="H1255" s="1557">
        <f>SUM(F1255*G1255)</f>
        <v>0</v>
      </c>
      <c r="J1255" s="1548"/>
      <c r="K1255" s="1591"/>
    </row>
    <row r="1256" spans="1:11" s="1541" customFormat="1">
      <c r="A1256" s="1518"/>
      <c r="B1256" s="1518"/>
      <c r="C1256" s="1522"/>
      <c r="D1256" s="1554"/>
      <c r="E1256" s="1563"/>
      <c r="F1256" s="1545"/>
      <c r="G1256" s="1459"/>
      <c r="H1256" s="1557"/>
      <c r="J1256" s="1548"/>
      <c r="K1256" s="1591"/>
    </row>
    <row r="1257" spans="1:11" s="1541" customFormat="1" ht="51">
      <c r="A1257" s="1518" t="str">
        <f>A1237</f>
        <v>H.</v>
      </c>
      <c r="B1257" s="1518" t="str">
        <f>B1237</f>
        <v>3.</v>
      </c>
      <c r="C1257" s="1518">
        <f>C1237+1</f>
        <v>9</v>
      </c>
      <c r="D1257" s="1516" t="s">
        <v>5173</v>
      </c>
      <c r="E1257" s="1545"/>
      <c r="F1257" s="1545"/>
      <c r="G1257" s="1459"/>
      <c r="H1257" s="1557"/>
      <c r="J1257" s="1548"/>
      <c r="K1257" s="1591"/>
    </row>
    <row r="1258" spans="1:11" s="1541" customFormat="1" ht="191.25">
      <c r="A1258" s="1518"/>
      <c r="B1258" s="1518"/>
      <c r="C1258" s="1522"/>
      <c r="D1258" s="1571" t="s">
        <v>5174</v>
      </c>
      <c r="E1258" s="1545"/>
      <c r="F1258" s="1545"/>
      <c r="G1258" s="1459"/>
      <c r="H1258" s="1557"/>
      <c r="J1258" s="1548"/>
      <c r="K1258" s="1591"/>
    </row>
    <row r="1259" spans="1:11" s="1541" customFormat="1" ht="25.5">
      <c r="A1259" s="1518"/>
      <c r="B1259" s="1518"/>
      <c r="C1259" s="1522"/>
      <c r="D1259" s="1571" t="s">
        <v>5159</v>
      </c>
      <c r="E1259" s="1545"/>
      <c r="F1259" s="1545"/>
      <c r="G1259" s="1459"/>
      <c r="H1259" s="1557"/>
      <c r="J1259" s="1548"/>
      <c r="K1259" s="1591"/>
    </row>
    <row r="1260" spans="1:11" s="1541" customFormat="1" ht="25.5">
      <c r="A1260" s="1518"/>
      <c r="B1260" s="1518"/>
      <c r="C1260" s="1522"/>
      <c r="D1260" s="1571" t="s">
        <v>5104</v>
      </c>
      <c r="E1260" s="1545"/>
      <c r="F1260" s="1545"/>
      <c r="G1260" s="1459"/>
      <c r="H1260" s="1557"/>
      <c r="J1260" s="1548"/>
      <c r="K1260" s="1591"/>
    </row>
    <row r="1261" spans="1:11" s="1541" customFormat="1" ht="25.5">
      <c r="A1261" s="1518"/>
      <c r="B1261" s="1518"/>
      <c r="C1261" s="1522"/>
      <c r="D1261" s="1571" t="s">
        <v>5086</v>
      </c>
      <c r="E1261" s="1545"/>
      <c r="F1261" s="1545"/>
      <c r="G1261" s="1459"/>
      <c r="H1261" s="1557"/>
      <c r="J1261" s="1548"/>
      <c r="K1261" s="1591"/>
    </row>
    <row r="1262" spans="1:11" s="1541" customFormat="1" ht="25.5">
      <c r="A1262" s="1518"/>
      <c r="B1262" s="1518"/>
      <c r="C1262" s="1522"/>
      <c r="D1262" s="1571" t="s">
        <v>5063</v>
      </c>
      <c r="E1262" s="1545"/>
      <c r="F1262" s="1545"/>
      <c r="G1262" s="1459"/>
      <c r="H1262" s="1557"/>
      <c r="J1262" s="1548"/>
      <c r="K1262" s="1591"/>
    </row>
    <row r="1263" spans="1:11" s="1541" customFormat="1" ht="25.5">
      <c r="A1263" s="1518"/>
      <c r="B1263" s="1518"/>
      <c r="C1263" s="1522"/>
      <c r="D1263" s="1571" t="s">
        <v>5168</v>
      </c>
      <c r="E1263" s="1545"/>
      <c r="F1263" s="1545"/>
      <c r="G1263" s="1459"/>
      <c r="H1263" s="1557"/>
      <c r="J1263" s="1548"/>
      <c r="K1263" s="1591"/>
    </row>
    <row r="1264" spans="1:11" s="1541" customFormat="1" ht="25.5">
      <c r="A1264" s="1518"/>
      <c r="B1264" s="1518"/>
      <c r="C1264" s="1522"/>
      <c r="D1264" s="1571" t="s">
        <v>5107</v>
      </c>
      <c r="E1264" s="1545"/>
      <c r="F1264" s="1545"/>
      <c r="G1264" s="1459"/>
      <c r="H1264" s="1557"/>
      <c r="J1264" s="1548"/>
      <c r="K1264" s="1591"/>
    </row>
    <row r="1265" spans="1:11" s="1541" customFormat="1" ht="25.5">
      <c r="A1265" s="1518"/>
      <c r="B1265" s="1518"/>
      <c r="C1265" s="1522"/>
      <c r="D1265" s="1571" t="s">
        <v>5169</v>
      </c>
      <c r="E1265" s="1545"/>
      <c r="F1265" s="1545"/>
      <c r="G1265" s="1459"/>
      <c r="H1265" s="1557"/>
      <c r="J1265" s="1548"/>
      <c r="K1265" s="1591"/>
    </row>
    <row r="1266" spans="1:11" s="1541" customFormat="1" ht="25.5">
      <c r="A1266" s="1518"/>
      <c r="B1266" s="1518"/>
      <c r="C1266" s="1522"/>
      <c r="D1266" s="1571" t="s">
        <v>5175</v>
      </c>
      <c r="E1266" s="1545"/>
      <c r="F1266" s="1545"/>
      <c r="G1266" s="1459"/>
      <c r="H1266" s="1557"/>
      <c r="J1266" s="1548"/>
      <c r="K1266" s="1591"/>
    </row>
    <row r="1267" spans="1:11" s="1541" customFormat="1" ht="25.5">
      <c r="A1267" s="1518"/>
      <c r="B1267" s="1518"/>
      <c r="C1267" s="1522"/>
      <c r="D1267" s="1571" t="s">
        <v>5150</v>
      </c>
      <c r="E1267" s="1545"/>
      <c r="F1267" s="1545"/>
      <c r="G1267" s="1459"/>
      <c r="H1267" s="1557"/>
      <c r="J1267" s="1548"/>
      <c r="K1267" s="1591"/>
    </row>
    <row r="1268" spans="1:11" s="1541" customFormat="1" ht="25.5">
      <c r="A1268" s="1518"/>
      <c r="B1268" s="1518"/>
      <c r="C1268" s="1522"/>
      <c r="D1268" s="1571" t="s">
        <v>5097</v>
      </c>
      <c r="E1268" s="1545"/>
      <c r="F1268" s="1545"/>
      <c r="G1268" s="1459"/>
      <c r="H1268" s="1557"/>
      <c r="J1268" s="1548"/>
      <c r="K1268" s="1591"/>
    </row>
    <row r="1269" spans="1:11" s="1541" customFormat="1" ht="25.5">
      <c r="A1269" s="1518"/>
      <c r="B1269" s="1518"/>
      <c r="C1269" s="1522"/>
      <c r="D1269" s="1571" t="s">
        <v>5110</v>
      </c>
      <c r="E1269" s="1545"/>
      <c r="F1269" s="1545"/>
      <c r="G1269" s="1459"/>
      <c r="H1269" s="1557"/>
      <c r="J1269" s="1548"/>
      <c r="K1269" s="1591"/>
    </row>
    <row r="1270" spans="1:11" s="1541" customFormat="1" ht="25.5">
      <c r="A1270" s="1518"/>
      <c r="B1270" s="1518"/>
      <c r="C1270" s="1522"/>
      <c r="D1270" s="1571" t="s">
        <v>5111</v>
      </c>
      <c r="E1270" s="1545"/>
      <c r="F1270" s="1545"/>
      <c r="G1270" s="1459"/>
      <c r="H1270" s="1557"/>
      <c r="J1270" s="1548"/>
      <c r="K1270" s="1591"/>
    </row>
    <row r="1271" spans="1:11" s="1541" customFormat="1" ht="25.5">
      <c r="A1271" s="1518"/>
      <c r="B1271" s="1518"/>
      <c r="C1271" s="1522"/>
      <c r="D1271" s="1571" t="s">
        <v>5171</v>
      </c>
      <c r="E1271" s="1545"/>
      <c r="F1271" s="1545"/>
      <c r="G1271" s="1459"/>
      <c r="H1271" s="1557"/>
      <c r="J1271" s="1548"/>
      <c r="K1271" s="1591"/>
    </row>
    <row r="1272" spans="1:11" s="1541" customFormat="1" ht="25.5">
      <c r="A1272" s="1518"/>
      <c r="B1272" s="1518"/>
      <c r="C1272" s="1522"/>
      <c r="D1272" s="1571" t="s">
        <v>5114</v>
      </c>
      <c r="E1272" s="1545"/>
      <c r="F1272" s="1545"/>
      <c r="G1272" s="1459"/>
      <c r="H1272" s="1557"/>
      <c r="J1272" s="1548"/>
      <c r="K1272" s="1591"/>
    </row>
    <row r="1273" spans="1:11" s="1541" customFormat="1" ht="25.5">
      <c r="A1273" s="1518"/>
      <c r="B1273" s="1518"/>
      <c r="C1273" s="1522"/>
      <c r="D1273" s="1571" t="s">
        <v>5127</v>
      </c>
      <c r="E1273" s="1545"/>
      <c r="F1273" s="1545"/>
      <c r="G1273" s="1459"/>
      <c r="H1273" s="1557"/>
      <c r="J1273" s="1548"/>
      <c r="K1273" s="1591"/>
    </row>
    <row r="1274" spans="1:11" s="1541" customFormat="1" ht="38.25">
      <c r="A1274" s="1518"/>
      <c r="B1274" s="1518"/>
      <c r="C1274" s="1522"/>
      <c r="D1274" s="1554" t="s">
        <v>5128</v>
      </c>
      <c r="E1274" s="1545"/>
      <c r="F1274" s="1545"/>
      <c r="G1274" s="1459"/>
      <c r="H1274" s="1557"/>
      <c r="J1274" s="1548"/>
      <c r="K1274" s="1591"/>
    </row>
    <row r="1275" spans="1:11" s="1541" customFormat="1" ht="114.75">
      <c r="A1275" s="1518"/>
      <c r="B1275" s="1518"/>
      <c r="C1275" s="1522"/>
      <c r="D1275" s="1554" t="s">
        <v>5137</v>
      </c>
      <c r="E1275" s="1594"/>
      <c r="F1275" s="1545"/>
      <c r="G1275" s="1459"/>
      <c r="H1275" s="1557"/>
      <c r="J1275" s="1548"/>
      <c r="K1275" s="1591"/>
    </row>
    <row r="1276" spans="1:11" s="1541" customFormat="1">
      <c r="A1276" s="1518"/>
      <c r="B1276" s="1518"/>
      <c r="C1276" s="1522" t="s">
        <v>55</v>
      </c>
      <c r="D1276" s="1516" t="s">
        <v>5176</v>
      </c>
      <c r="E1276" s="1545" t="s">
        <v>2243</v>
      </c>
      <c r="F1276" s="1545">
        <v>1</v>
      </c>
      <c r="G1276" s="1461"/>
      <c r="H1276" s="1557">
        <f>SUM(F1276*G1276)</f>
        <v>0</v>
      </c>
      <c r="J1276" s="1548"/>
      <c r="K1276" s="1591"/>
    </row>
    <row r="1277" spans="1:11" s="1541" customFormat="1">
      <c r="A1277" s="1518"/>
      <c r="B1277" s="1518"/>
      <c r="C1277" s="1522"/>
      <c r="D1277" s="1554"/>
      <c r="E1277" s="1563"/>
      <c r="F1277" s="1545"/>
      <c r="G1277" s="1459"/>
      <c r="H1277" s="1557"/>
      <c r="J1277" s="1548"/>
      <c r="K1277" s="1591"/>
    </row>
    <row r="1278" spans="1:11" s="1541" customFormat="1" ht="51">
      <c r="A1278" s="1518" t="str">
        <f>A1257</f>
        <v>H.</v>
      </c>
      <c r="B1278" s="1518" t="str">
        <f>B1257</f>
        <v>3.</v>
      </c>
      <c r="C1278" s="1518">
        <f>C1257+1</f>
        <v>10</v>
      </c>
      <c r="D1278" s="1516" t="s">
        <v>5177</v>
      </c>
      <c r="E1278" s="1545"/>
      <c r="F1278" s="1545"/>
      <c r="G1278" s="1459"/>
      <c r="H1278" s="1557"/>
      <c r="J1278" s="1548"/>
      <c r="K1278" s="1591"/>
    </row>
    <row r="1279" spans="1:11" s="1541" customFormat="1" ht="191.25">
      <c r="A1279" s="1518"/>
      <c r="B1279" s="1518"/>
      <c r="C1279" s="1522"/>
      <c r="D1279" s="1596" t="s">
        <v>5178</v>
      </c>
      <c r="E1279" s="1545"/>
      <c r="F1279" s="1545"/>
      <c r="G1279" s="1459"/>
      <c r="H1279" s="1557"/>
      <c r="J1279" s="1548"/>
      <c r="K1279" s="1591"/>
    </row>
    <row r="1280" spans="1:11" s="1541" customFormat="1" ht="25.5">
      <c r="A1280" s="1518"/>
      <c r="B1280" s="1518"/>
      <c r="C1280" s="1522"/>
      <c r="D1280" s="1596" t="s">
        <v>5159</v>
      </c>
      <c r="E1280" s="1545"/>
      <c r="F1280" s="1545"/>
      <c r="G1280" s="1459"/>
      <c r="H1280" s="1557"/>
      <c r="J1280" s="1548"/>
      <c r="K1280" s="1591"/>
    </row>
    <row r="1281" spans="1:11" s="1541" customFormat="1" ht="25.5">
      <c r="A1281" s="1518"/>
      <c r="B1281" s="1518"/>
      <c r="C1281" s="1522"/>
      <c r="D1281" s="1596" t="s">
        <v>5104</v>
      </c>
      <c r="E1281" s="1545"/>
      <c r="F1281" s="1545"/>
      <c r="G1281" s="1459"/>
      <c r="H1281" s="1557"/>
      <c r="J1281" s="1548"/>
      <c r="K1281" s="1591"/>
    </row>
    <row r="1282" spans="1:11" s="1541" customFormat="1" ht="25.5">
      <c r="A1282" s="1518"/>
      <c r="B1282" s="1518"/>
      <c r="C1282" s="1522"/>
      <c r="D1282" s="1596" t="s">
        <v>5086</v>
      </c>
      <c r="E1282" s="1545"/>
      <c r="F1282" s="1545"/>
      <c r="G1282" s="1459"/>
      <c r="H1282" s="1557"/>
      <c r="J1282" s="1548"/>
      <c r="K1282" s="1591"/>
    </row>
    <row r="1283" spans="1:11" s="1541" customFormat="1" ht="25.5">
      <c r="A1283" s="1518"/>
      <c r="B1283" s="1518"/>
      <c r="C1283" s="1522"/>
      <c r="D1283" s="1596" t="s">
        <v>5063</v>
      </c>
      <c r="E1283" s="1545"/>
      <c r="F1283" s="1545"/>
      <c r="G1283" s="1459"/>
      <c r="H1283" s="1557"/>
      <c r="J1283" s="1548"/>
      <c r="K1283" s="1591"/>
    </row>
    <row r="1284" spans="1:11" s="1541" customFormat="1" ht="25.5">
      <c r="A1284" s="1518"/>
      <c r="B1284" s="1518"/>
      <c r="C1284" s="1522"/>
      <c r="D1284" s="1596" t="s">
        <v>5179</v>
      </c>
      <c r="E1284" s="1545"/>
      <c r="F1284" s="1545"/>
      <c r="G1284" s="1459"/>
      <c r="H1284" s="1557"/>
      <c r="J1284" s="1548"/>
      <c r="K1284" s="1591"/>
    </row>
    <row r="1285" spans="1:11" s="1541" customFormat="1" ht="25.5">
      <c r="A1285" s="1518"/>
      <c r="B1285" s="1518"/>
      <c r="C1285" s="1522"/>
      <c r="D1285" s="1596" t="s">
        <v>5168</v>
      </c>
      <c r="E1285" s="1545"/>
      <c r="F1285" s="1545"/>
      <c r="G1285" s="1459"/>
      <c r="H1285" s="1557"/>
      <c r="J1285" s="1548"/>
      <c r="K1285" s="1591"/>
    </row>
    <row r="1286" spans="1:11" s="1541" customFormat="1" ht="25.5">
      <c r="A1286" s="1518"/>
      <c r="B1286" s="1518"/>
      <c r="C1286" s="1522"/>
      <c r="D1286" s="1596" t="s">
        <v>5107</v>
      </c>
      <c r="E1286" s="1545"/>
      <c r="F1286" s="1545"/>
      <c r="G1286" s="1459"/>
      <c r="H1286" s="1557"/>
      <c r="J1286" s="1548"/>
      <c r="K1286" s="1591"/>
    </row>
    <row r="1287" spans="1:11" s="1541" customFormat="1" ht="25.5">
      <c r="A1287" s="1518"/>
      <c r="B1287" s="1518"/>
      <c r="C1287" s="1522"/>
      <c r="D1287" s="1596" t="s">
        <v>5169</v>
      </c>
      <c r="E1287" s="1545"/>
      <c r="F1287" s="1545"/>
      <c r="G1287" s="1459"/>
      <c r="H1287" s="1557"/>
      <c r="J1287" s="1548"/>
      <c r="K1287" s="1591"/>
    </row>
    <row r="1288" spans="1:11" s="1541" customFormat="1" ht="25.5">
      <c r="A1288" s="1518"/>
      <c r="B1288" s="1518"/>
      <c r="C1288" s="1522"/>
      <c r="D1288" s="1596" t="s">
        <v>5180</v>
      </c>
      <c r="E1288" s="1545"/>
      <c r="F1288" s="1545"/>
      <c r="G1288" s="1459"/>
      <c r="H1288" s="1557"/>
      <c r="J1288" s="1548"/>
      <c r="K1288" s="1591"/>
    </row>
    <row r="1289" spans="1:11" s="1541" customFormat="1" ht="25.5">
      <c r="A1289" s="1518"/>
      <c r="B1289" s="1518"/>
      <c r="C1289" s="1522"/>
      <c r="D1289" s="1596" t="s">
        <v>5097</v>
      </c>
      <c r="E1289" s="1545"/>
      <c r="F1289" s="1545"/>
      <c r="G1289" s="1459"/>
      <c r="H1289" s="1557"/>
      <c r="J1289" s="1548"/>
      <c r="K1289" s="1591"/>
    </row>
    <row r="1290" spans="1:11" s="1541" customFormat="1" ht="25.5">
      <c r="A1290" s="1518"/>
      <c r="B1290" s="1518"/>
      <c r="C1290" s="1522"/>
      <c r="D1290" s="1596" t="s">
        <v>5110</v>
      </c>
      <c r="E1290" s="1545"/>
      <c r="F1290" s="1545"/>
      <c r="G1290" s="1459"/>
      <c r="H1290" s="1557"/>
      <c r="J1290" s="1548"/>
      <c r="K1290" s="1591"/>
    </row>
    <row r="1291" spans="1:11" s="1541" customFormat="1" ht="25.5">
      <c r="A1291" s="1518"/>
      <c r="B1291" s="1518"/>
      <c r="C1291" s="1522"/>
      <c r="D1291" s="1571" t="s">
        <v>5111</v>
      </c>
      <c r="E1291" s="1545"/>
      <c r="F1291" s="1545"/>
      <c r="G1291" s="1459"/>
      <c r="H1291" s="1557"/>
      <c r="J1291" s="1548"/>
      <c r="K1291" s="1591"/>
    </row>
    <row r="1292" spans="1:11" s="1541" customFormat="1" ht="25.5">
      <c r="A1292" s="1518"/>
      <c r="B1292" s="1518"/>
      <c r="C1292" s="1522"/>
      <c r="D1292" s="1571" t="s">
        <v>5171</v>
      </c>
      <c r="E1292" s="1545"/>
      <c r="F1292" s="1545"/>
      <c r="G1292" s="1459"/>
      <c r="H1292" s="1557"/>
      <c r="J1292" s="1548"/>
      <c r="K1292" s="1591"/>
    </row>
    <row r="1293" spans="1:11" s="1541" customFormat="1" ht="25.5">
      <c r="A1293" s="1518"/>
      <c r="B1293" s="1518"/>
      <c r="C1293" s="1522"/>
      <c r="D1293" s="1596" t="s">
        <v>5114</v>
      </c>
      <c r="E1293" s="1545"/>
      <c r="F1293" s="1545"/>
      <c r="G1293" s="1459"/>
      <c r="H1293" s="1557"/>
      <c r="J1293" s="1548"/>
      <c r="K1293" s="1591"/>
    </row>
    <row r="1294" spans="1:11" s="1541" customFormat="1" ht="25.5">
      <c r="A1294" s="1518"/>
      <c r="B1294" s="1518"/>
      <c r="C1294" s="1522"/>
      <c r="D1294" s="1596" t="s">
        <v>5127</v>
      </c>
      <c r="E1294" s="1545"/>
      <c r="F1294" s="1545"/>
      <c r="G1294" s="1459"/>
      <c r="H1294" s="1557"/>
      <c r="J1294" s="1548"/>
      <c r="K1294" s="1591"/>
    </row>
    <row r="1295" spans="1:11" s="1541" customFormat="1" ht="38.25">
      <c r="A1295" s="1518"/>
      <c r="B1295" s="1518"/>
      <c r="C1295" s="1522"/>
      <c r="D1295" s="1554" t="s">
        <v>5128</v>
      </c>
      <c r="E1295" s="1545"/>
      <c r="F1295" s="1545"/>
      <c r="G1295" s="1459"/>
      <c r="H1295" s="1557"/>
      <c r="J1295" s="1548"/>
      <c r="K1295" s="1591"/>
    </row>
    <row r="1296" spans="1:11" s="1541" customFormat="1" ht="114.75">
      <c r="A1296" s="1518"/>
      <c r="B1296" s="1518"/>
      <c r="C1296" s="1522"/>
      <c r="D1296" s="1554" t="s">
        <v>5137</v>
      </c>
      <c r="E1296" s="1594"/>
      <c r="F1296" s="1545"/>
      <c r="G1296" s="1459"/>
      <c r="H1296" s="1557"/>
      <c r="J1296" s="1548"/>
      <c r="K1296" s="1591"/>
    </row>
    <row r="1297" spans="1:11" s="1541" customFormat="1">
      <c r="A1297" s="1518"/>
      <c r="B1297" s="1518"/>
      <c r="C1297" s="1522" t="s">
        <v>55</v>
      </c>
      <c r="D1297" s="1516" t="s">
        <v>5181</v>
      </c>
      <c r="E1297" s="1545" t="s">
        <v>2243</v>
      </c>
      <c r="F1297" s="1545">
        <v>1</v>
      </c>
      <c r="G1297" s="1461"/>
      <c r="H1297" s="1557">
        <f>SUM(F1297*G1297)</f>
        <v>0</v>
      </c>
      <c r="J1297" s="1548"/>
      <c r="K1297" s="1591"/>
    </row>
    <row r="1298" spans="1:11" s="1541" customFormat="1">
      <c r="A1298" s="1518"/>
      <c r="B1298" s="1518"/>
      <c r="C1298" s="1522"/>
      <c r="D1298" s="1554"/>
      <c r="E1298" s="1563"/>
      <c r="F1298" s="1545"/>
      <c r="G1298" s="1459"/>
      <c r="H1298" s="1557"/>
      <c r="J1298" s="1548"/>
      <c r="K1298" s="1591"/>
    </row>
    <row r="1299" spans="1:11" s="1541" customFormat="1" ht="51">
      <c r="A1299" s="1518" t="str">
        <f>A1278</f>
        <v>H.</v>
      </c>
      <c r="B1299" s="1518" t="str">
        <f>B1278</f>
        <v>3.</v>
      </c>
      <c r="C1299" s="1518">
        <f>C1278+1</f>
        <v>11</v>
      </c>
      <c r="D1299" s="1516" t="s">
        <v>5182</v>
      </c>
      <c r="E1299" s="1545"/>
      <c r="F1299" s="1545"/>
      <c r="G1299" s="1459"/>
      <c r="H1299" s="1557"/>
      <c r="J1299" s="1548"/>
      <c r="K1299" s="1591"/>
    </row>
    <row r="1300" spans="1:11" s="1541" customFormat="1" ht="191.25">
      <c r="A1300" s="1518"/>
      <c r="B1300" s="1518"/>
      <c r="C1300" s="1522"/>
      <c r="D1300" s="1596" t="s">
        <v>5183</v>
      </c>
      <c r="E1300" s="1545"/>
      <c r="F1300" s="1545"/>
      <c r="G1300" s="1459"/>
      <c r="H1300" s="1557"/>
      <c r="J1300" s="1548"/>
      <c r="K1300" s="1591"/>
    </row>
    <row r="1301" spans="1:11" s="1541" customFormat="1">
      <c r="A1301" s="1518"/>
      <c r="B1301" s="1518"/>
      <c r="C1301" s="1522"/>
      <c r="D1301" s="1596" t="s">
        <v>5184</v>
      </c>
      <c r="E1301" s="1545"/>
      <c r="F1301" s="1545"/>
      <c r="G1301" s="1459"/>
      <c r="H1301" s="1557"/>
      <c r="J1301" s="1548"/>
      <c r="K1301" s="1591"/>
    </row>
    <row r="1302" spans="1:11" s="1541" customFormat="1" ht="25.5">
      <c r="A1302" s="1518"/>
      <c r="B1302" s="1518"/>
      <c r="C1302" s="1522"/>
      <c r="D1302" s="1596" t="s">
        <v>5185</v>
      </c>
      <c r="E1302" s="1545"/>
      <c r="F1302" s="1545"/>
      <c r="G1302" s="1459"/>
      <c r="H1302" s="1557"/>
      <c r="J1302" s="1548"/>
      <c r="K1302" s="1591"/>
    </row>
    <row r="1303" spans="1:11" s="1541" customFormat="1">
      <c r="A1303" s="1518"/>
      <c r="B1303" s="1518"/>
      <c r="C1303" s="1522"/>
      <c r="D1303" s="1596" t="s">
        <v>5186</v>
      </c>
      <c r="E1303" s="1545"/>
      <c r="F1303" s="1545"/>
      <c r="G1303" s="1459"/>
      <c r="H1303" s="1557"/>
      <c r="J1303" s="1548"/>
      <c r="K1303" s="1591"/>
    </row>
    <row r="1304" spans="1:11" s="1541" customFormat="1" ht="25.5">
      <c r="A1304" s="1518"/>
      <c r="B1304" s="1518"/>
      <c r="C1304" s="1522"/>
      <c r="D1304" s="1596" t="s">
        <v>5159</v>
      </c>
      <c r="E1304" s="1545"/>
      <c r="F1304" s="1545"/>
      <c r="G1304" s="1459"/>
      <c r="H1304" s="1557"/>
      <c r="J1304" s="1548"/>
      <c r="K1304" s="1591"/>
    </row>
    <row r="1305" spans="1:11" s="1541" customFormat="1" ht="25.5">
      <c r="A1305" s="1518"/>
      <c r="B1305" s="1518"/>
      <c r="C1305" s="1522"/>
      <c r="D1305" s="1596" t="s">
        <v>5104</v>
      </c>
      <c r="E1305" s="1545"/>
      <c r="F1305" s="1545"/>
      <c r="G1305" s="1459"/>
      <c r="H1305" s="1557"/>
      <c r="J1305" s="1548"/>
      <c r="K1305" s="1591"/>
    </row>
    <row r="1306" spans="1:11" s="1541" customFormat="1" ht="25.5">
      <c r="A1306" s="1518"/>
      <c r="B1306" s="1518"/>
      <c r="C1306" s="1522"/>
      <c r="D1306" s="1596" t="s">
        <v>5086</v>
      </c>
      <c r="E1306" s="1545"/>
      <c r="F1306" s="1545"/>
      <c r="G1306" s="1459"/>
      <c r="H1306" s="1557"/>
      <c r="J1306" s="1548"/>
      <c r="K1306" s="1591"/>
    </row>
    <row r="1307" spans="1:11" s="1541" customFormat="1" ht="25.5">
      <c r="A1307" s="1518"/>
      <c r="B1307" s="1518"/>
      <c r="C1307" s="1522"/>
      <c r="D1307" s="1596" t="s">
        <v>5063</v>
      </c>
      <c r="E1307" s="1545"/>
      <c r="F1307" s="1545"/>
      <c r="G1307" s="1459"/>
      <c r="H1307" s="1557"/>
      <c r="J1307" s="1548"/>
      <c r="K1307" s="1591"/>
    </row>
    <row r="1308" spans="1:11" s="1541" customFormat="1" ht="25.5">
      <c r="A1308" s="1518"/>
      <c r="B1308" s="1518"/>
      <c r="C1308" s="1522"/>
      <c r="D1308" s="1596" t="s">
        <v>5187</v>
      </c>
      <c r="E1308" s="1545"/>
      <c r="F1308" s="1545"/>
      <c r="G1308" s="1459"/>
      <c r="H1308" s="1557"/>
      <c r="J1308" s="1548"/>
      <c r="K1308" s="1591"/>
    </row>
    <row r="1309" spans="1:11" s="1541" customFormat="1" ht="25.5">
      <c r="A1309" s="1518"/>
      <c r="B1309" s="1518"/>
      <c r="C1309" s="1522"/>
      <c r="D1309" s="1596" t="s">
        <v>5160</v>
      </c>
      <c r="E1309" s="1545"/>
      <c r="F1309" s="1545"/>
      <c r="G1309" s="1459"/>
      <c r="H1309" s="1557"/>
      <c r="J1309" s="1548"/>
      <c r="K1309" s="1591"/>
    </row>
    <row r="1310" spans="1:11" s="1541" customFormat="1" ht="25.5">
      <c r="A1310" s="1518"/>
      <c r="B1310" s="1518"/>
      <c r="C1310" s="1522"/>
      <c r="D1310" s="1596" t="s">
        <v>5107</v>
      </c>
      <c r="E1310" s="1545"/>
      <c r="F1310" s="1545"/>
      <c r="G1310" s="1459"/>
      <c r="H1310" s="1557"/>
      <c r="J1310" s="1548"/>
      <c r="K1310" s="1591"/>
    </row>
    <row r="1311" spans="1:11" s="1541" customFormat="1" ht="25.5">
      <c r="A1311" s="1518"/>
      <c r="B1311" s="1518"/>
      <c r="C1311" s="1522"/>
      <c r="D1311" s="1596" t="s">
        <v>5169</v>
      </c>
      <c r="E1311" s="1545"/>
      <c r="F1311" s="1545"/>
      <c r="G1311" s="1459"/>
      <c r="H1311" s="1557"/>
      <c r="J1311" s="1548"/>
      <c r="K1311" s="1591"/>
    </row>
    <row r="1312" spans="1:11" s="1541" customFormat="1" ht="25.5">
      <c r="A1312" s="1518"/>
      <c r="B1312" s="1518"/>
      <c r="C1312" s="1522"/>
      <c r="D1312" s="1596" t="s">
        <v>5188</v>
      </c>
      <c r="E1312" s="1545"/>
      <c r="F1312" s="1545"/>
      <c r="G1312" s="1459"/>
      <c r="H1312" s="1557"/>
      <c r="J1312" s="1548"/>
      <c r="K1312" s="1591"/>
    </row>
    <row r="1313" spans="1:11" s="1541" customFormat="1" ht="25.5">
      <c r="A1313" s="1518"/>
      <c r="B1313" s="1518"/>
      <c r="C1313" s="1522"/>
      <c r="D1313" s="1596" t="s">
        <v>5097</v>
      </c>
      <c r="E1313" s="1545"/>
      <c r="F1313" s="1545"/>
      <c r="G1313" s="1459"/>
      <c r="H1313" s="1557"/>
      <c r="J1313" s="1548"/>
      <c r="K1313" s="1591"/>
    </row>
    <row r="1314" spans="1:11" s="1541" customFormat="1" ht="25.5">
      <c r="A1314" s="1518"/>
      <c r="B1314" s="1518"/>
      <c r="C1314" s="1522"/>
      <c r="D1314" s="1596" t="s">
        <v>5110</v>
      </c>
      <c r="E1314" s="1545"/>
      <c r="F1314" s="1545"/>
      <c r="G1314" s="1459"/>
      <c r="H1314" s="1557"/>
      <c r="J1314" s="1548"/>
      <c r="K1314" s="1591"/>
    </row>
    <row r="1315" spans="1:11" s="1541" customFormat="1" ht="25.5">
      <c r="A1315" s="1518"/>
      <c r="B1315" s="1518"/>
      <c r="C1315" s="1522"/>
      <c r="D1315" s="1571" t="s">
        <v>5111</v>
      </c>
      <c r="E1315" s="1545"/>
      <c r="F1315" s="1545"/>
      <c r="G1315" s="1459"/>
      <c r="H1315" s="1557"/>
      <c r="J1315" s="1548"/>
      <c r="K1315" s="1591"/>
    </row>
    <row r="1316" spans="1:11" s="1541" customFormat="1" ht="25.5">
      <c r="A1316" s="1518"/>
      <c r="B1316" s="1518"/>
      <c r="C1316" s="1522"/>
      <c r="D1316" s="1571" t="s">
        <v>5163</v>
      </c>
      <c r="E1316" s="1545"/>
      <c r="F1316" s="1545"/>
      <c r="G1316" s="1459"/>
      <c r="H1316" s="1557"/>
      <c r="J1316" s="1548"/>
      <c r="K1316" s="1591"/>
    </row>
    <row r="1317" spans="1:11" s="1541" customFormat="1" ht="25.5">
      <c r="A1317" s="1518"/>
      <c r="B1317" s="1518"/>
      <c r="C1317" s="1522"/>
      <c r="D1317" s="1596" t="s">
        <v>5114</v>
      </c>
      <c r="E1317" s="1545"/>
      <c r="F1317" s="1545"/>
      <c r="G1317" s="1459"/>
      <c r="H1317" s="1557"/>
      <c r="J1317" s="1548"/>
      <c r="K1317" s="1591"/>
    </row>
    <row r="1318" spans="1:11" s="1541" customFormat="1" ht="25.5">
      <c r="A1318" s="1518"/>
      <c r="B1318" s="1518"/>
      <c r="C1318" s="1522"/>
      <c r="D1318" s="1596" t="s">
        <v>5127</v>
      </c>
      <c r="E1318" s="1545"/>
      <c r="F1318" s="1545"/>
      <c r="G1318" s="1459"/>
      <c r="H1318" s="1557"/>
      <c r="J1318" s="1548"/>
      <c r="K1318" s="1591"/>
    </row>
    <row r="1319" spans="1:11" s="1541" customFormat="1" ht="38.25">
      <c r="A1319" s="1518"/>
      <c r="B1319" s="1518"/>
      <c r="C1319" s="1522"/>
      <c r="D1319" s="1554" t="s">
        <v>5128</v>
      </c>
      <c r="E1319" s="1545"/>
      <c r="F1319" s="1545"/>
      <c r="G1319" s="1459"/>
      <c r="H1319" s="1557"/>
      <c r="J1319" s="1548"/>
      <c r="K1319" s="1591"/>
    </row>
    <row r="1320" spans="1:11" s="1541" customFormat="1" ht="114.75">
      <c r="A1320" s="1518"/>
      <c r="B1320" s="1518"/>
      <c r="C1320" s="1522"/>
      <c r="D1320" s="1554" t="s">
        <v>5137</v>
      </c>
      <c r="E1320" s="1594"/>
      <c r="F1320" s="1545"/>
      <c r="G1320" s="1459"/>
      <c r="H1320" s="1557"/>
      <c r="J1320" s="1548"/>
      <c r="K1320" s="1591"/>
    </row>
    <row r="1321" spans="1:11" s="1541" customFormat="1">
      <c r="A1321" s="1518"/>
      <c r="B1321" s="1518"/>
      <c r="C1321" s="1522" t="s">
        <v>55</v>
      </c>
      <c r="D1321" s="1516" t="s">
        <v>5189</v>
      </c>
      <c r="E1321" s="1545" t="s">
        <v>2243</v>
      </c>
      <c r="F1321" s="1545">
        <v>1</v>
      </c>
      <c r="G1321" s="1461"/>
      <c r="H1321" s="1557">
        <f>SUM(F1321*G1321)</f>
        <v>0</v>
      </c>
      <c r="J1321" s="1548"/>
      <c r="K1321" s="1591"/>
    </row>
    <row r="1322" spans="1:11" s="1541" customFormat="1">
      <c r="A1322" s="1518"/>
      <c r="B1322" s="1518"/>
      <c r="C1322" s="1522"/>
      <c r="D1322" s="1554"/>
      <c r="E1322" s="1563"/>
      <c r="F1322" s="1545"/>
      <c r="G1322" s="1459"/>
      <c r="H1322" s="1557"/>
      <c r="J1322" s="1548"/>
      <c r="K1322" s="1591"/>
    </row>
    <row r="1323" spans="1:11" s="1541" customFormat="1" ht="51">
      <c r="A1323" s="1518" t="str">
        <f>A1299</f>
        <v>H.</v>
      </c>
      <c r="B1323" s="1518" t="str">
        <f>B1299</f>
        <v>3.</v>
      </c>
      <c r="C1323" s="1518">
        <f>C1299+1</f>
        <v>12</v>
      </c>
      <c r="D1323" s="1516" t="s">
        <v>5190</v>
      </c>
      <c r="E1323" s="1545"/>
      <c r="F1323" s="1545"/>
      <c r="G1323" s="1459"/>
      <c r="H1323" s="1557"/>
      <c r="J1323" s="1548"/>
      <c r="K1323" s="1591"/>
    </row>
    <row r="1324" spans="1:11" s="1541" customFormat="1" ht="191.25">
      <c r="A1324" s="1518"/>
      <c r="B1324" s="1518"/>
      <c r="C1324" s="1522"/>
      <c r="D1324" s="1571" t="s">
        <v>5191</v>
      </c>
      <c r="E1324" s="1545"/>
      <c r="F1324" s="1545"/>
      <c r="G1324" s="1459"/>
      <c r="H1324" s="1557"/>
      <c r="J1324" s="1548"/>
      <c r="K1324" s="1591"/>
    </row>
    <row r="1325" spans="1:11" s="1541" customFormat="1" ht="25.5">
      <c r="A1325" s="1518"/>
      <c r="B1325" s="1518"/>
      <c r="C1325" s="1522"/>
      <c r="D1325" s="1571" t="s">
        <v>5192</v>
      </c>
      <c r="E1325" s="1545"/>
      <c r="F1325" s="1545"/>
      <c r="G1325" s="1459"/>
      <c r="H1325" s="1557"/>
      <c r="J1325" s="1548"/>
      <c r="K1325" s="1591"/>
    </row>
    <row r="1326" spans="1:11" s="1541" customFormat="1" ht="25.5">
      <c r="A1326" s="1518"/>
      <c r="B1326" s="1518"/>
      <c r="C1326" s="1522"/>
      <c r="D1326" s="1571" t="s">
        <v>5193</v>
      </c>
      <c r="E1326" s="1545"/>
      <c r="F1326" s="1545"/>
      <c r="G1326" s="1459"/>
      <c r="H1326" s="1557"/>
      <c r="J1326" s="1548"/>
      <c r="K1326" s="1591"/>
    </row>
    <row r="1327" spans="1:11" s="1541" customFormat="1" ht="25.5">
      <c r="A1327" s="1518"/>
      <c r="B1327" s="1518"/>
      <c r="C1327" s="1522"/>
      <c r="D1327" s="1571" t="s">
        <v>5194</v>
      </c>
      <c r="E1327" s="1545"/>
      <c r="F1327" s="1545"/>
      <c r="G1327" s="1459"/>
      <c r="H1327" s="1557"/>
      <c r="J1327" s="1548"/>
      <c r="K1327" s="1591"/>
    </row>
    <row r="1328" spans="1:11" s="1541" customFormat="1" ht="25.5">
      <c r="A1328" s="1518"/>
      <c r="B1328" s="1518"/>
      <c r="C1328" s="1522"/>
      <c r="D1328" s="1571" t="s">
        <v>5195</v>
      </c>
      <c r="E1328" s="1545"/>
      <c r="F1328" s="1545"/>
      <c r="G1328" s="1459"/>
      <c r="H1328" s="1557"/>
      <c r="J1328" s="1548"/>
      <c r="K1328" s="1591"/>
    </row>
    <row r="1329" spans="1:11" s="1541" customFormat="1" ht="25.5">
      <c r="A1329" s="1518"/>
      <c r="B1329" s="1518"/>
      <c r="C1329" s="1522"/>
      <c r="D1329" s="1571" t="s">
        <v>5196</v>
      </c>
      <c r="E1329" s="1545"/>
      <c r="F1329" s="1545"/>
      <c r="G1329" s="1459"/>
      <c r="H1329" s="1557"/>
      <c r="J1329" s="1548"/>
      <c r="K1329" s="1591"/>
    </row>
    <row r="1330" spans="1:11" s="1541" customFormat="1" ht="25.5">
      <c r="A1330" s="1518"/>
      <c r="B1330" s="1518"/>
      <c r="C1330" s="1522"/>
      <c r="D1330" s="1571" t="s">
        <v>5085</v>
      </c>
      <c r="E1330" s="1545"/>
      <c r="F1330" s="1545"/>
      <c r="G1330" s="1459"/>
      <c r="H1330" s="1557"/>
      <c r="J1330" s="1548"/>
      <c r="K1330" s="1591"/>
    </row>
    <row r="1331" spans="1:11" s="1541" customFormat="1" ht="25.5">
      <c r="A1331" s="1518"/>
      <c r="B1331" s="1518"/>
      <c r="C1331" s="1522"/>
      <c r="D1331" s="1571" t="s">
        <v>5197</v>
      </c>
      <c r="E1331" s="1545"/>
      <c r="F1331" s="1545"/>
      <c r="G1331" s="1459"/>
      <c r="H1331" s="1557"/>
      <c r="J1331" s="1548"/>
      <c r="K1331" s="1591"/>
    </row>
    <row r="1332" spans="1:11" s="1541" customFormat="1" ht="25.5">
      <c r="A1332" s="1518"/>
      <c r="B1332" s="1518"/>
      <c r="C1332" s="1522"/>
      <c r="D1332" s="1571" t="s">
        <v>5104</v>
      </c>
      <c r="E1332" s="1545"/>
      <c r="F1332" s="1545"/>
      <c r="G1332" s="1459"/>
      <c r="H1332" s="1557"/>
      <c r="J1332" s="1548"/>
      <c r="K1332" s="1591"/>
    </row>
    <row r="1333" spans="1:11" s="1541" customFormat="1" ht="25.5">
      <c r="A1333" s="1518"/>
      <c r="B1333" s="1518"/>
      <c r="C1333" s="1522"/>
      <c r="D1333" s="1571" t="s">
        <v>5142</v>
      </c>
      <c r="E1333" s="1545"/>
      <c r="F1333" s="1545"/>
      <c r="G1333" s="1459"/>
      <c r="H1333" s="1557"/>
      <c r="J1333" s="1548"/>
      <c r="K1333" s="1591"/>
    </row>
    <row r="1334" spans="1:11" s="1541" customFormat="1" ht="25.5">
      <c r="A1334" s="1518"/>
      <c r="B1334" s="1518"/>
      <c r="C1334" s="1522"/>
      <c r="D1334" s="1571" t="s">
        <v>5087</v>
      </c>
      <c r="E1334" s="1545"/>
      <c r="F1334" s="1545"/>
      <c r="G1334" s="1459"/>
      <c r="H1334" s="1557"/>
      <c r="J1334" s="1548"/>
      <c r="K1334" s="1591"/>
    </row>
    <row r="1335" spans="1:11" s="1541" customFormat="1" ht="25.5">
      <c r="A1335" s="1518"/>
      <c r="B1335" s="1518"/>
      <c r="C1335" s="1522"/>
      <c r="D1335" s="1571" t="s">
        <v>5198</v>
      </c>
      <c r="E1335" s="1545"/>
      <c r="F1335" s="1545"/>
      <c r="G1335" s="1459"/>
      <c r="H1335" s="1557"/>
      <c r="J1335" s="1548"/>
      <c r="K1335" s="1591"/>
    </row>
    <row r="1336" spans="1:11" s="1541" customFormat="1" ht="25.5">
      <c r="A1336" s="1518"/>
      <c r="B1336" s="1518"/>
      <c r="C1336" s="1522"/>
      <c r="D1336" s="1571" t="s">
        <v>5089</v>
      </c>
      <c r="E1336" s="1545"/>
      <c r="F1336" s="1545"/>
      <c r="G1336" s="1459"/>
      <c r="H1336" s="1557"/>
      <c r="J1336" s="1548"/>
      <c r="K1336" s="1591"/>
    </row>
    <row r="1337" spans="1:11" s="1541" customFormat="1" ht="38.25">
      <c r="A1337" s="1518"/>
      <c r="B1337" s="1518"/>
      <c r="C1337" s="1522"/>
      <c r="D1337" s="1571" t="s">
        <v>5199</v>
      </c>
      <c r="E1337" s="1545"/>
      <c r="F1337" s="1545"/>
      <c r="G1337" s="1459"/>
      <c r="H1337" s="1557"/>
      <c r="J1337" s="1548"/>
      <c r="K1337" s="1591"/>
    </row>
    <row r="1338" spans="1:11" s="1541" customFormat="1" ht="25.5">
      <c r="A1338" s="1518"/>
      <c r="B1338" s="1518"/>
      <c r="C1338" s="1522"/>
      <c r="D1338" s="1571" t="s">
        <v>5200</v>
      </c>
      <c r="E1338" s="1545"/>
      <c r="F1338" s="1545"/>
      <c r="G1338" s="1459"/>
      <c r="H1338" s="1557"/>
      <c r="J1338" s="1548"/>
      <c r="K1338" s="1591"/>
    </row>
    <row r="1339" spans="1:11" s="1541" customFormat="1" ht="25.5">
      <c r="A1339" s="1518"/>
      <c r="B1339" s="1518"/>
      <c r="C1339" s="1522"/>
      <c r="D1339" s="1571" t="s">
        <v>5201</v>
      </c>
      <c r="E1339" s="1545"/>
      <c r="F1339" s="1545"/>
      <c r="G1339" s="1459"/>
      <c r="H1339" s="1557"/>
      <c r="J1339" s="1548"/>
      <c r="K1339" s="1591"/>
    </row>
    <row r="1340" spans="1:11" s="1541" customFormat="1" ht="25.5">
      <c r="A1340" s="1518"/>
      <c r="B1340" s="1518"/>
      <c r="C1340" s="1522"/>
      <c r="D1340" s="1571" t="s">
        <v>5202</v>
      </c>
      <c r="E1340" s="1545"/>
      <c r="F1340" s="1545"/>
      <c r="G1340" s="1459"/>
      <c r="H1340" s="1557"/>
      <c r="J1340" s="1548"/>
      <c r="K1340" s="1591"/>
    </row>
    <row r="1341" spans="1:11" s="1541" customFormat="1" ht="25.5">
      <c r="A1341" s="1518"/>
      <c r="B1341" s="1518"/>
      <c r="C1341" s="1522"/>
      <c r="D1341" s="1571" t="s">
        <v>5203</v>
      </c>
      <c r="E1341" s="1545"/>
      <c r="F1341" s="1545"/>
      <c r="G1341" s="1459"/>
      <c r="H1341" s="1557"/>
      <c r="J1341" s="1548"/>
      <c r="K1341" s="1591"/>
    </row>
    <row r="1342" spans="1:11" s="1541" customFormat="1" ht="25.5">
      <c r="A1342" s="1518"/>
      <c r="B1342" s="1518"/>
      <c r="C1342" s="1522"/>
      <c r="D1342" s="1571" t="s">
        <v>5097</v>
      </c>
      <c r="E1342" s="1545"/>
      <c r="F1342" s="1545"/>
      <c r="G1342" s="1459"/>
      <c r="H1342" s="1557"/>
      <c r="J1342" s="1548"/>
      <c r="K1342" s="1591"/>
    </row>
    <row r="1343" spans="1:11" s="1541" customFormat="1" ht="25.5">
      <c r="A1343" s="1518"/>
      <c r="B1343" s="1518"/>
      <c r="C1343" s="1522"/>
      <c r="D1343" s="1571" t="s">
        <v>5204</v>
      </c>
      <c r="E1343" s="1545"/>
      <c r="F1343" s="1545"/>
      <c r="G1343" s="1459"/>
      <c r="H1343" s="1557"/>
      <c r="J1343" s="1548"/>
      <c r="K1343" s="1591"/>
    </row>
    <row r="1344" spans="1:11" s="1541" customFormat="1" ht="38.25">
      <c r="A1344" s="1518"/>
      <c r="B1344" s="1518"/>
      <c r="C1344" s="1522"/>
      <c r="D1344" s="1554" t="s">
        <v>5128</v>
      </c>
      <c r="E1344" s="1545"/>
      <c r="F1344" s="1545"/>
      <c r="G1344" s="1459"/>
      <c r="H1344" s="1557"/>
      <c r="J1344" s="1548"/>
      <c r="K1344" s="1591"/>
    </row>
    <row r="1345" spans="1:11" s="1541" customFormat="1" ht="114.75">
      <c r="A1345" s="1518"/>
      <c r="B1345" s="1518"/>
      <c r="C1345" s="1522"/>
      <c r="D1345" s="1554" t="s">
        <v>5137</v>
      </c>
      <c r="E1345" s="1594"/>
      <c r="F1345" s="1545"/>
      <c r="G1345" s="1459"/>
      <c r="H1345" s="1557"/>
      <c r="J1345" s="1548"/>
      <c r="K1345" s="1591"/>
    </row>
    <row r="1346" spans="1:11" s="1541" customFormat="1">
      <c r="A1346" s="1518"/>
      <c r="B1346" s="1518"/>
      <c r="C1346" s="1522" t="s">
        <v>55</v>
      </c>
      <c r="D1346" s="1516" t="s">
        <v>5205</v>
      </c>
      <c r="E1346" s="1545" t="s">
        <v>2243</v>
      </c>
      <c r="F1346" s="1545">
        <v>1</v>
      </c>
      <c r="G1346" s="1461"/>
      <c r="H1346" s="1557">
        <f>SUM(F1346*G1346)</f>
        <v>0</v>
      </c>
      <c r="J1346" s="1548"/>
      <c r="K1346" s="1591"/>
    </row>
    <row r="1347" spans="1:11" s="1541" customFormat="1">
      <c r="A1347" s="1518"/>
      <c r="B1347" s="1518"/>
      <c r="C1347" s="1522"/>
      <c r="D1347" s="1554"/>
      <c r="E1347" s="1563"/>
      <c r="F1347" s="1545"/>
      <c r="G1347" s="1459"/>
      <c r="H1347" s="1557"/>
      <c r="J1347" s="1548"/>
      <c r="K1347" s="1591"/>
    </row>
    <row r="1348" spans="1:11" s="1541" customFormat="1" ht="51">
      <c r="A1348" s="1518" t="str">
        <f>A1323</f>
        <v>H.</v>
      </c>
      <c r="B1348" s="1518" t="str">
        <f>B1323</f>
        <v>3.</v>
      </c>
      <c r="C1348" s="1518">
        <f>C1323+1</f>
        <v>13</v>
      </c>
      <c r="D1348" s="1516" t="s">
        <v>5206</v>
      </c>
      <c r="E1348" s="1545"/>
      <c r="F1348" s="1545"/>
      <c r="G1348" s="1459"/>
      <c r="H1348" s="1557"/>
      <c r="J1348" s="1548"/>
      <c r="K1348" s="1591"/>
    </row>
    <row r="1349" spans="1:11" s="1541" customFormat="1" ht="191.25">
      <c r="A1349" s="1518"/>
      <c r="B1349" s="1518"/>
      <c r="C1349" s="1522"/>
      <c r="D1349" s="1571" t="s">
        <v>5207</v>
      </c>
      <c r="E1349" s="1545"/>
      <c r="F1349" s="1545"/>
      <c r="G1349" s="1459"/>
      <c r="H1349" s="1557"/>
      <c r="J1349" s="1548"/>
      <c r="K1349" s="1591"/>
    </row>
    <row r="1350" spans="1:11" s="1541" customFormat="1" ht="25.5">
      <c r="A1350" s="1518"/>
      <c r="B1350" s="1518"/>
      <c r="C1350" s="1522"/>
      <c r="D1350" s="1571" t="s">
        <v>5085</v>
      </c>
      <c r="E1350" s="1545"/>
      <c r="F1350" s="1545"/>
      <c r="G1350" s="1459"/>
      <c r="H1350" s="1557"/>
      <c r="J1350" s="1548"/>
      <c r="K1350" s="1591"/>
    </row>
    <row r="1351" spans="1:11" s="1541" customFormat="1" ht="25.5">
      <c r="A1351" s="1518"/>
      <c r="B1351" s="1518"/>
      <c r="C1351" s="1522"/>
      <c r="D1351" s="1571" t="s">
        <v>5142</v>
      </c>
      <c r="E1351" s="1545"/>
      <c r="F1351" s="1545"/>
      <c r="G1351" s="1459"/>
      <c r="H1351" s="1557"/>
      <c r="J1351" s="1548"/>
      <c r="K1351" s="1591"/>
    </row>
    <row r="1352" spans="1:11" s="1541" customFormat="1" ht="25.5">
      <c r="A1352" s="1518"/>
      <c r="B1352" s="1518"/>
      <c r="C1352" s="1522"/>
      <c r="D1352" s="1571" t="s">
        <v>5087</v>
      </c>
      <c r="E1352" s="1545"/>
      <c r="F1352" s="1545"/>
      <c r="G1352" s="1459"/>
      <c r="H1352" s="1557"/>
      <c r="J1352" s="1548"/>
      <c r="K1352" s="1591"/>
    </row>
    <row r="1353" spans="1:11" s="1541" customFormat="1" ht="25.5">
      <c r="A1353" s="1518"/>
      <c r="B1353" s="1518"/>
      <c r="C1353" s="1522"/>
      <c r="D1353" s="1571" t="s">
        <v>5143</v>
      </c>
      <c r="E1353" s="1545"/>
      <c r="F1353" s="1545"/>
      <c r="G1353" s="1459"/>
      <c r="H1353" s="1557"/>
      <c r="J1353" s="1548"/>
      <c r="K1353" s="1591"/>
    </row>
    <row r="1354" spans="1:11" s="1541" customFormat="1" ht="25.5">
      <c r="A1354" s="1518"/>
      <c r="B1354" s="1518"/>
      <c r="C1354" s="1522"/>
      <c r="D1354" s="1571" t="s">
        <v>5089</v>
      </c>
      <c r="E1354" s="1545"/>
      <c r="F1354" s="1545"/>
      <c r="G1354" s="1459"/>
      <c r="H1354" s="1557"/>
      <c r="J1354" s="1548"/>
      <c r="K1354" s="1591"/>
    </row>
    <row r="1355" spans="1:11" s="1541" customFormat="1" ht="38.25">
      <c r="A1355" s="1518"/>
      <c r="B1355" s="1518"/>
      <c r="C1355" s="1522"/>
      <c r="D1355" s="1571" t="s">
        <v>5199</v>
      </c>
      <c r="E1355" s="1545"/>
      <c r="F1355" s="1545"/>
      <c r="G1355" s="1459"/>
      <c r="H1355" s="1557"/>
      <c r="J1355" s="1548"/>
      <c r="K1355" s="1591"/>
    </row>
    <row r="1356" spans="1:11" s="1541" customFormat="1" ht="25.5">
      <c r="A1356" s="1518"/>
      <c r="B1356" s="1518"/>
      <c r="C1356" s="1522"/>
      <c r="D1356" s="1571" t="s">
        <v>5093</v>
      </c>
      <c r="E1356" s="1545"/>
      <c r="F1356" s="1545"/>
      <c r="G1356" s="1459"/>
      <c r="H1356" s="1557"/>
      <c r="J1356" s="1548"/>
      <c r="K1356" s="1591"/>
    </row>
    <row r="1357" spans="1:11" s="1541" customFormat="1" ht="25.5">
      <c r="A1357" s="1518"/>
      <c r="B1357" s="1518"/>
      <c r="C1357" s="1522"/>
      <c r="D1357" s="1571" t="s">
        <v>5150</v>
      </c>
      <c r="E1357" s="1545"/>
      <c r="F1357" s="1545"/>
      <c r="G1357" s="1459"/>
      <c r="H1357" s="1557"/>
      <c r="J1357" s="1548"/>
      <c r="K1357" s="1591"/>
    </row>
    <row r="1358" spans="1:11" s="1541" customFormat="1" ht="25.5">
      <c r="A1358" s="1518"/>
      <c r="B1358" s="1518"/>
      <c r="C1358" s="1522"/>
      <c r="D1358" s="1571" t="s">
        <v>5208</v>
      </c>
      <c r="E1358" s="1545"/>
      <c r="F1358" s="1545"/>
      <c r="G1358" s="1459"/>
      <c r="H1358" s="1557"/>
      <c r="J1358" s="1548"/>
      <c r="K1358" s="1591"/>
    </row>
    <row r="1359" spans="1:11" s="1541" customFormat="1" ht="25.5">
      <c r="A1359" s="1518"/>
      <c r="B1359" s="1518"/>
      <c r="C1359" s="1522"/>
      <c r="D1359" s="1571" t="s">
        <v>5097</v>
      </c>
      <c r="E1359" s="1545"/>
      <c r="F1359" s="1545"/>
      <c r="G1359" s="1459"/>
      <c r="H1359" s="1557"/>
      <c r="J1359" s="1548"/>
      <c r="K1359" s="1591"/>
    </row>
    <row r="1360" spans="1:11" s="1541" customFormat="1" ht="25.5">
      <c r="A1360" s="1518"/>
      <c r="B1360" s="1518"/>
      <c r="C1360" s="1522"/>
      <c r="D1360" s="1571" t="s">
        <v>5209</v>
      </c>
      <c r="E1360" s="1545"/>
      <c r="F1360" s="1545"/>
      <c r="G1360" s="1459"/>
      <c r="H1360" s="1557"/>
      <c r="J1360" s="1548"/>
      <c r="K1360" s="1591"/>
    </row>
    <row r="1361" spans="1:11" s="1541" customFormat="1" ht="38.25">
      <c r="A1361" s="1518"/>
      <c r="B1361" s="1518"/>
      <c r="C1361" s="1522"/>
      <c r="D1361" s="1554" t="s">
        <v>5128</v>
      </c>
      <c r="E1361" s="1545"/>
      <c r="F1361" s="1545"/>
      <c r="G1361" s="1459"/>
      <c r="H1361" s="1557"/>
      <c r="J1361" s="1548"/>
      <c r="K1361" s="1591"/>
    </row>
    <row r="1362" spans="1:11" s="1541" customFormat="1" ht="114.75">
      <c r="A1362" s="1518"/>
      <c r="B1362" s="1518"/>
      <c r="C1362" s="1522"/>
      <c r="D1362" s="1554" t="s">
        <v>5137</v>
      </c>
      <c r="E1362" s="1594"/>
      <c r="F1362" s="1545"/>
      <c r="G1362" s="1459"/>
      <c r="H1362" s="1557"/>
      <c r="J1362" s="1548"/>
      <c r="K1362" s="1591"/>
    </row>
    <row r="1363" spans="1:11" s="1541" customFormat="1">
      <c r="A1363" s="1518"/>
      <c r="B1363" s="1518"/>
      <c r="C1363" s="1522" t="s">
        <v>55</v>
      </c>
      <c r="D1363" s="1516" t="s">
        <v>5210</v>
      </c>
      <c r="E1363" s="1545" t="s">
        <v>2243</v>
      </c>
      <c r="F1363" s="1545">
        <v>1</v>
      </c>
      <c r="G1363" s="1461"/>
      <c r="H1363" s="1557">
        <f>SUM(F1363*G1363)</f>
        <v>0</v>
      </c>
      <c r="J1363" s="1548"/>
      <c r="K1363" s="1591"/>
    </row>
    <row r="1364" spans="1:11" s="1541" customFormat="1">
      <c r="A1364" s="1518"/>
      <c r="B1364" s="1518"/>
      <c r="C1364" s="1522"/>
      <c r="D1364" s="1554"/>
      <c r="E1364" s="1545"/>
      <c r="F1364" s="1545"/>
      <c r="G1364" s="1459"/>
      <c r="H1364" s="1557"/>
      <c r="J1364" s="1548"/>
      <c r="K1364" s="1591"/>
    </row>
    <row r="1365" spans="1:11" s="1541" customFormat="1" ht="25.5">
      <c r="A1365" s="1518" t="str">
        <f>A1348</f>
        <v>H.</v>
      </c>
      <c r="B1365" s="1518" t="str">
        <f>B1348</f>
        <v>3.</v>
      </c>
      <c r="C1365" s="1518">
        <f>C1348+1</f>
        <v>14</v>
      </c>
      <c r="D1365" s="1554" t="s">
        <v>5211</v>
      </c>
      <c r="E1365" s="1545" t="s">
        <v>5212</v>
      </c>
      <c r="F1365" s="1545">
        <v>1</v>
      </c>
      <c r="G1365" s="1461"/>
      <c r="H1365" s="1557">
        <f>SUM(F1365*G1365)</f>
        <v>0</v>
      </c>
      <c r="J1365" s="1548"/>
      <c r="K1365" s="1591"/>
    </row>
    <row r="1366" spans="1:11" s="1541" customFormat="1">
      <c r="A1366" s="1518"/>
      <c r="B1366" s="1518"/>
      <c r="C1366" s="1522"/>
      <c r="D1366" s="1554"/>
      <c r="E1366" s="1545"/>
      <c r="F1366" s="1594"/>
      <c r="G1366" s="1459"/>
      <c r="H1366" s="1557"/>
      <c r="J1366" s="1548"/>
      <c r="K1366" s="1591"/>
    </row>
    <row r="1367" spans="1:11" s="1541" customFormat="1">
      <c r="A1367" s="1518"/>
      <c r="B1367" s="1518"/>
      <c r="C1367" s="1522"/>
      <c r="D1367" s="1554"/>
      <c r="E1367" s="1545"/>
      <c r="F1367" s="1594"/>
      <c r="G1367" s="1459"/>
      <c r="H1367" s="1557"/>
      <c r="J1367" s="1548"/>
      <c r="K1367" s="1591"/>
    </row>
    <row r="1368" spans="1:11" s="1541" customFormat="1" ht="63.75">
      <c r="A1368" s="1518"/>
      <c r="B1368" s="1518"/>
      <c r="C1368" s="1522"/>
      <c r="D1368" s="1554" t="s">
        <v>5213</v>
      </c>
      <c r="E1368" s="1545"/>
      <c r="F1368" s="1594"/>
      <c r="G1368" s="1459"/>
      <c r="H1368" s="1557"/>
      <c r="J1368" s="1548"/>
      <c r="K1368" s="1591"/>
    </row>
    <row r="1369" spans="1:11" s="1541" customFormat="1">
      <c r="A1369" s="1518"/>
      <c r="B1369" s="1518"/>
      <c r="C1369" s="1522"/>
      <c r="D1369" s="1554"/>
      <c r="E1369" s="1545"/>
      <c r="F1369" s="1594"/>
      <c r="G1369" s="1459"/>
      <c r="H1369" s="1557"/>
      <c r="J1369" s="1548"/>
      <c r="K1369" s="1591"/>
    </row>
    <row r="1370" spans="1:11" s="1541" customFormat="1">
      <c r="A1370" s="1518" t="str">
        <f>A1365</f>
        <v>H.</v>
      </c>
      <c r="B1370" s="1518" t="str">
        <f t="shared" ref="B1370" si="23">B1365</f>
        <v>3.</v>
      </c>
      <c r="C1370" s="1518">
        <f>C1365+1</f>
        <v>15</v>
      </c>
      <c r="D1370" s="1554" t="s">
        <v>5214</v>
      </c>
      <c r="E1370" s="1545" t="s">
        <v>34</v>
      </c>
      <c r="F1370" s="1545">
        <v>2</v>
      </c>
      <c r="G1370" s="1461"/>
      <c r="H1370" s="1557">
        <f>SUM(F1370*G1370)</f>
        <v>0</v>
      </c>
      <c r="J1370" s="1548"/>
      <c r="K1370" s="1591"/>
    </row>
    <row r="1371" spans="1:11" s="1541" customFormat="1">
      <c r="A1371" s="1518"/>
      <c r="B1371" s="1518"/>
      <c r="C1371" s="1522"/>
      <c r="D1371" s="1554"/>
      <c r="E1371" s="1545"/>
      <c r="F1371" s="1594"/>
      <c r="G1371" s="1459"/>
      <c r="H1371" s="1557"/>
      <c r="J1371" s="1548"/>
      <c r="K1371" s="1591"/>
    </row>
    <row r="1372" spans="1:11" s="1541" customFormat="1">
      <c r="A1372" s="1518" t="str">
        <f>A1370</f>
        <v>H.</v>
      </c>
      <c r="B1372" s="1518" t="str">
        <f t="shared" ref="B1372:B1434" si="24">B1370</f>
        <v>3.</v>
      </c>
      <c r="C1372" s="1518">
        <f>C1370+1</f>
        <v>16</v>
      </c>
      <c r="D1372" s="1554" t="s">
        <v>5215</v>
      </c>
      <c r="E1372" s="1545" t="s">
        <v>34</v>
      </c>
      <c r="F1372" s="1545">
        <v>10</v>
      </c>
      <c r="G1372" s="1461"/>
      <c r="H1372" s="1557">
        <f>SUM(F1372*G1372)</f>
        <v>0</v>
      </c>
      <c r="J1372" s="1548"/>
      <c r="K1372" s="1591"/>
    </row>
    <row r="1373" spans="1:11" s="1541" customFormat="1">
      <c r="A1373" s="1518"/>
      <c r="B1373" s="1518"/>
      <c r="C1373" s="1522"/>
      <c r="D1373" s="1554"/>
      <c r="E1373" s="1545"/>
      <c r="F1373" s="1545"/>
      <c r="G1373" s="1459"/>
      <c r="H1373" s="1557"/>
      <c r="J1373" s="1548"/>
      <c r="K1373" s="1591"/>
    </row>
    <row r="1374" spans="1:11" s="1541" customFormat="1">
      <c r="A1374" s="1518" t="str">
        <f>A1372</f>
        <v>H.</v>
      </c>
      <c r="B1374" s="1518" t="str">
        <f t="shared" si="24"/>
        <v>3.</v>
      </c>
      <c r="C1374" s="1518">
        <f>C1372+1</f>
        <v>17</v>
      </c>
      <c r="D1374" s="1554" t="s">
        <v>5216</v>
      </c>
      <c r="E1374" s="1545" t="s">
        <v>34</v>
      </c>
      <c r="F1374" s="1545">
        <v>2</v>
      </c>
      <c r="G1374" s="1461"/>
      <c r="H1374" s="1557">
        <f>SUM(F1374*G1374)</f>
        <v>0</v>
      </c>
      <c r="J1374" s="1548"/>
      <c r="K1374" s="1591"/>
    </row>
    <row r="1375" spans="1:11" s="1541" customFormat="1">
      <c r="A1375" s="1518"/>
      <c r="B1375" s="1518"/>
      <c r="C1375" s="1522"/>
      <c r="D1375" s="1554"/>
      <c r="E1375" s="1545"/>
      <c r="F1375" s="1545"/>
      <c r="G1375" s="1459"/>
      <c r="H1375" s="1557"/>
      <c r="J1375" s="1548"/>
      <c r="K1375" s="1591"/>
    </row>
    <row r="1376" spans="1:11" s="1541" customFormat="1">
      <c r="A1376" s="1518" t="str">
        <f>A1374</f>
        <v>H.</v>
      </c>
      <c r="B1376" s="1518" t="str">
        <f t="shared" si="24"/>
        <v>3.</v>
      </c>
      <c r="C1376" s="1518">
        <f>C1374+1</f>
        <v>18</v>
      </c>
      <c r="D1376" s="1554" t="s">
        <v>5217</v>
      </c>
      <c r="E1376" s="1545" t="s">
        <v>34</v>
      </c>
      <c r="F1376" s="1545">
        <v>2</v>
      </c>
      <c r="G1376" s="1461"/>
      <c r="H1376" s="1557">
        <f>SUM(F1376*G1376)</f>
        <v>0</v>
      </c>
      <c r="J1376" s="1548"/>
      <c r="K1376" s="1591"/>
    </row>
    <row r="1377" spans="1:11" s="1541" customFormat="1">
      <c r="A1377" s="1518"/>
      <c r="B1377" s="1518"/>
      <c r="C1377" s="1522"/>
      <c r="D1377" s="1554"/>
      <c r="E1377" s="1545"/>
      <c r="F1377" s="1545"/>
      <c r="G1377" s="1459"/>
      <c r="H1377" s="1557"/>
      <c r="J1377" s="1548"/>
      <c r="K1377" s="1591"/>
    </row>
    <row r="1378" spans="1:11" s="1541" customFormat="1">
      <c r="A1378" s="1518" t="str">
        <f>A1376</f>
        <v>H.</v>
      </c>
      <c r="B1378" s="1518" t="str">
        <f t="shared" si="24"/>
        <v>3.</v>
      </c>
      <c r="C1378" s="1518">
        <f>C1376+1</f>
        <v>19</v>
      </c>
      <c r="D1378" s="1554" t="s">
        <v>5218</v>
      </c>
      <c r="E1378" s="1545" t="s">
        <v>34</v>
      </c>
      <c r="F1378" s="1545">
        <v>1</v>
      </c>
      <c r="G1378" s="1461"/>
      <c r="H1378" s="1557">
        <f>SUM(F1378*G1378)</f>
        <v>0</v>
      </c>
      <c r="J1378" s="1548"/>
      <c r="K1378" s="1591"/>
    </row>
    <row r="1379" spans="1:11" s="1541" customFormat="1">
      <c r="A1379" s="1518"/>
      <c r="B1379" s="1518"/>
      <c r="C1379" s="1522"/>
      <c r="D1379" s="1554"/>
      <c r="E1379" s="1545"/>
      <c r="F1379" s="1545"/>
      <c r="G1379" s="1459"/>
      <c r="H1379" s="1557"/>
      <c r="J1379" s="1548"/>
      <c r="K1379" s="1591"/>
    </row>
    <row r="1380" spans="1:11" s="1541" customFormat="1">
      <c r="A1380" s="1518" t="str">
        <f>A1378</f>
        <v>H.</v>
      </c>
      <c r="B1380" s="1518" t="str">
        <f t="shared" si="24"/>
        <v>3.</v>
      </c>
      <c r="C1380" s="1518">
        <f>C1378+1</f>
        <v>20</v>
      </c>
      <c r="D1380" s="1554" t="s">
        <v>5219</v>
      </c>
      <c r="E1380" s="1545" t="s">
        <v>34</v>
      </c>
      <c r="F1380" s="1545">
        <v>88</v>
      </c>
      <c r="G1380" s="1461"/>
      <c r="H1380" s="1557">
        <f>SUM(F1380*G1380)</f>
        <v>0</v>
      </c>
      <c r="J1380" s="1548"/>
      <c r="K1380" s="1591"/>
    </row>
    <row r="1381" spans="1:11" s="1541" customFormat="1">
      <c r="A1381" s="1518"/>
      <c r="B1381" s="1518"/>
      <c r="C1381" s="1522"/>
      <c r="D1381" s="1554"/>
      <c r="E1381" s="1545"/>
      <c r="F1381" s="1545"/>
      <c r="G1381" s="1459"/>
      <c r="H1381" s="1557"/>
      <c r="J1381" s="1548"/>
      <c r="K1381" s="1591"/>
    </row>
    <row r="1382" spans="1:11" s="1541" customFormat="1">
      <c r="A1382" s="1518" t="str">
        <f>A1380</f>
        <v>H.</v>
      </c>
      <c r="B1382" s="1518" t="str">
        <f t="shared" si="24"/>
        <v>3.</v>
      </c>
      <c r="C1382" s="1518">
        <f>C1380+1</f>
        <v>21</v>
      </c>
      <c r="D1382" s="1554" t="s">
        <v>5220</v>
      </c>
      <c r="E1382" s="1545" t="s">
        <v>34</v>
      </c>
      <c r="F1382" s="1545">
        <v>2</v>
      </c>
      <c r="G1382" s="1461"/>
      <c r="H1382" s="1557">
        <f>SUM(F1382*G1382)</f>
        <v>0</v>
      </c>
      <c r="J1382" s="1548"/>
      <c r="K1382" s="1591"/>
    </row>
    <row r="1383" spans="1:11" s="1541" customFormat="1">
      <c r="A1383" s="1518"/>
      <c r="B1383" s="1518"/>
      <c r="C1383" s="1522"/>
      <c r="D1383" s="1554"/>
      <c r="E1383" s="1545"/>
      <c r="F1383" s="1545"/>
      <c r="G1383" s="1459"/>
      <c r="H1383" s="1557"/>
      <c r="J1383" s="1548"/>
      <c r="K1383" s="1591"/>
    </row>
    <row r="1384" spans="1:11" s="1541" customFormat="1">
      <c r="A1384" s="1518" t="str">
        <f>A1382</f>
        <v>H.</v>
      </c>
      <c r="B1384" s="1518" t="str">
        <f t="shared" si="24"/>
        <v>3.</v>
      </c>
      <c r="C1384" s="1518">
        <f>C1382+1</f>
        <v>22</v>
      </c>
      <c r="D1384" s="1554" t="s">
        <v>5221</v>
      </c>
      <c r="E1384" s="1545" t="s">
        <v>34</v>
      </c>
      <c r="F1384" s="1545">
        <v>38</v>
      </c>
      <c r="G1384" s="1461"/>
      <c r="H1384" s="1557">
        <f>SUM(F1384*G1384)</f>
        <v>0</v>
      </c>
      <c r="J1384" s="1548"/>
      <c r="K1384" s="1591"/>
    </row>
    <row r="1385" spans="1:11" s="1541" customFormat="1">
      <c r="A1385" s="1518"/>
      <c r="B1385" s="1518"/>
      <c r="C1385" s="1522"/>
      <c r="D1385" s="1554"/>
      <c r="E1385" s="1545"/>
      <c r="F1385" s="1545"/>
      <c r="G1385" s="1459"/>
      <c r="H1385" s="1557"/>
      <c r="J1385" s="1548"/>
      <c r="K1385" s="1591"/>
    </row>
    <row r="1386" spans="1:11" s="1541" customFormat="1" ht="25.5">
      <c r="A1386" s="1518" t="str">
        <f>A1384</f>
        <v>H.</v>
      </c>
      <c r="B1386" s="1518" t="str">
        <f t="shared" si="24"/>
        <v>3.</v>
      </c>
      <c r="C1386" s="1518">
        <f>C1384+1</f>
        <v>23</v>
      </c>
      <c r="D1386" s="1554" t="s">
        <v>5222</v>
      </c>
      <c r="E1386" s="1545" t="s">
        <v>34</v>
      </c>
      <c r="F1386" s="1545">
        <v>6</v>
      </c>
      <c r="G1386" s="1461"/>
      <c r="H1386" s="1557">
        <f>SUM(F1386*G1386)</f>
        <v>0</v>
      </c>
      <c r="J1386" s="1548"/>
      <c r="K1386" s="1591"/>
    </row>
    <row r="1387" spans="1:11" s="1541" customFormat="1">
      <c r="A1387" s="1518"/>
      <c r="B1387" s="1518"/>
      <c r="C1387" s="1522"/>
      <c r="D1387" s="1554"/>
      <c r="E1387" s="1545"/>
      <c r="F1387" s="1545"/>
      <c r="G1387" s="1459"/>
      <c r="H1387" s="1557"/>
      <c r="J1387" s="1548"/>
      <c r="K1387" s="1591"/>
    </row>
    <row r="1388" spans="1:11" s="1541" customFormat="1" ht="25.5">
      <c r="A1388" s="1518" t="str">
        <f>A1386</f>
        <v>H.</v>
      </c>
      <c r="B1388" s="1518" t="str">
        <f t="shared" si="24"/>
        <v>3.</v>
      </c>
      <c r="C1388" s="1518">
        <f>C1386+1</f>
        <v>24</v>
      </c>
      <c r="D1388" s="1554" t="s">
        <v>5223</v>
      </c>
      <c r="E1388" s="1545" t="s">
        <v>34</v>
      </c>
      <c r="F1388" s="1545">
        <v>80</v>
      </c>
      <c r="G1388" s="1461"/>
      <c r="H1388" s="1557">
        <f>SUM(F1388*G1388)</f>
        <v>0</v>
      </c>
      <c r="J1388" s="1548"/>
      <c r="K1388" s="1591"/>
    </row>
    <row r="1389" spans="1:11" s="1541" customFormat="1">
      <c r="A1389" s="1518"/>
      <c r="B1389" s="1518"/>
      <c r="C1389" s="1522"/>
      <c r="D1389" s="1554"/>
      <c r="E1389" s="1545"/>
      <c r="F1389" s="1545"/>
      <c r="G1389" s="1459"/>
      <c r="H1389" s="1557"/>
      <c r="J1389" s="1548"/>
      <c r="K1389" s="1591"/>
    </row>
    <row r="1390" spans="1:11" s="1541" customFormat="1" ht="25.5">
      <c r="A1390" s="1518" t="str">
        <f>A1388</f>
        <v>H.</v>
      </c>
      <c r="B1390" s="1518" t="str">
        <f t="shared" si="24"/>
        <v>3.</v>
      </c>
      <c r="C1390" s="1518">
        <f>C1388+1</f>
        <v>25</v>
      </c>
      <c r="D1390" s="1554" t="s">
        <v>5224</v>
      </c>
      <c r="E1390" s="1545" t="s">
        <v>34</v>
      </c>
      <c r="F1390" s="1545">
        <v>155</v>
      </c>
      <c r="G1390" s="1461"/>
      <c r="H1390" s="1557">
        <f>SUM(F1390*G1390)</f>
        <v>0</v>
      </c>
      <c r="J1390" s="1548"/>
      <c r="K1390" s="1591"/>
    </row>
    <row r="1391" spans="1:11" s="1541" customFormat="1">
      <c r="A1391" s="1518"/>
      <c r="B1391" s="1518"/>
      <c r="C1391" s="1522"/>
      <c r="D1391" s="1554"/>
      <c r="E1391" s="1545"/>
      <c r="F1391" s="1545"/>
      <c r="G1391" s="1459"/>
      <c r="H1391" s="1557"/>
      <c r="J1391" s="1548"/>
      <c r="K1391" s="1591"/>
    </row>
    <row r="1392" spans="1:11" s="1541" customFormat="1" ht="25.5">
      <c r="A1392" s="1518" t="str">
        <f>A1390</f>
        <v>H.</v>
      </c>
      <c r="B1392" s="1518" t="str">
        <f t="shared" si="24"/>
        <v>3.</v>
      </c>
      <c r="C1392" s="1518">
        <f>C1390+1</f>
        <v>26</v>
      </c>
      <c r="D1392" s="1554" t="s">
        <v>5225</v>
      </c>
      <c r="E1392" s="1545" t="s">
        <v>34</v>
      </c>
      <c r="F1392" s="1545">
        <v>12</v>
      </c>
      <c r="G1392" s="1461"/>
      <c r="H1392" s="1557">
        <f>SUM(F1392*G1392)</f>
        <v>0</v>
      </c>
      <c r="J1392" s="1548"/>
      <c r="K1392" s="1591"/>
    </row>
    <row r="1393" spans="1:11" s="1541" customFormat="1">
      <c r="A1393" s="1518"/>
      <c r="B1393" s="1518"/>
      <c r="C1393" s="1522"/>
      <c r="D1393" s="1554"/>
      <c r="E1393" s="1545"/>
      <c r="F1393" s="1545"/>
      <c r="G1393" s="1459"/>
      <c r="H1393" s="1557"/>
      <c r="J1393" s="1548"/>
      <c r="K1393" s="1591"/>
    </row>
    <row r="1394" spans="1:11" s="1541" customFormat="1" ht="25.5">
      <c r="A1394" s="1518" t="str">
        <f>A1392</f>
        <v>H.</v>
      </c>
      <c r="B1394" s="1518" t="str">
        <f t="shared" si="24"/>
        <v>3.</v>
      </c>
      <c r="C1394" s="1518">
        <f>C1392+1</f>
        <v>27</v>
      </c>
      <c r="D1394" s="1554" t="s">
        <v>5226</v>
      </c>
      <c r="E1394" s="1545" t="s">
        <v>34</v>
      </c>
      <c r="F1394" s="1545">
        <v>10</v>
      </c>
      <c r="G1394" s="1461"/>
      <c r="H1394" s="1557">
        <f>SUM(F1394*G1394)</f>
        <v>0</v>
      </c>
      <c r="J1394" s="1548"/>
      <c r="K1394" s="1591"/>
    </row>
    <row r="1395" spans="1:11" s="1541" customFormat="1">
      <c r="A1395" s="1518"/>
      <c r="B1395" s="1518"/>
      <c r="C1395" s="1522"/>
      <c r="D1395" s="1554"/>
      <c r="E1395" s="1545"/>
      <c r="F1395" s="1594"/>
      <c r="G1395" s="1459"/>
      <c r="H1395" s="1557"/>
      <c r="J1395" s="1548"/>
      <c r="K1395" s="1591"/>
    </row>
    <row r="1396" spans="1:11" s="1541" customFormat="1" ht="38.25">
      <c r="A1396" s="1518" t="str">
        <f>A1394</f>
        <v>H.</v>
      </c>
      <c r="B1396" s="1518" t="str">
        <f t="shared" si="24"/>
        <v>3.</v>
      </c>
      <c r="C1396" s="1518">
        <f>C1394+1</f>
        <v>28</v>
      </c>
      <c r="D1396" s="1554" t="s">
        <v>5227</v>
      </c>
      <c r="E1396" s="1545" t="s">
        <v>34</v>
      </c>
      <c r="F1396" s="1545">
        <v>1</v>
      </c>
      <c r="G1396" s="1461"/>
      <c r="H1396" s="1557">
        <f>SUM(F1396*G1396)</f>
        <v>0</v>
      </c>
      <c r="J1396" s="1548"/>
      <c r="K1396" s="1591"/>
    </row>
    <row r="1397" spans="1:11" s="1541" customFormat="1">
      <c r="A1397" s="1518"/>
      <c r="B1397" s="1518"/>
      <c r="C1397" s="1522"/>
      <c r="D1397" s="1554"/>
      <c r="E1397" s="1545"/>
      <c r="F1397" s="1545"/>
      <c r="G1397" s="1459"/>
      <c r="H1397" s="1557"/>
      <c r="J1397" s="1548"/>
      <c r="K1397" s="1591"/>
    </row>
    <row r="1398" spans="1:11" s="1541" customFormat="1" ht="38.25">
      <c r="A1398" s="1518" t="str">
        <f>A1396</f>
        <v>H.</v>
      </c>
      <c r="B1398" s="1518" t="str">
        <f t="shared" si="24"/>
        <v>3.</v>
      </c>
      <c r="C1398" s="1518">
        <f>C1396+1</f>
        <v>29</v>
      </c>
      <c r="D1398" s="1554" t="s">
        <v>5228</v>
      </c>
      <c r="E1398" s="1545" t="s">
        <v>34</v>
      </c>
      <c r="F1398" s="1545">
        <v>1</v>
      </c>
      <c r="G1398" s="1461"/>
      <c r="H1398" s="1557">
        <f>SUM(F1398*G1398)</f>
        <v>0</v>
      </c>
      <c r="J1398" s="1548"/>
      <c r="K1398" s="1591"/>
    </row>
    <row r="1399" spans="1:11" s="1541" customFormat="1">
      <c r="A1399" s="1518"/>
      <c r="B1399" s="1518"/>
      <c r="C1399" s="1522"/>
      <c r="D1399" s="1554"/>
      <c r="E1399" s="1545"/>
      <c r="F1399" s="1545"/>
      <c r="G1399" s="1459"/>
      <c r="H1399" s="1557"/>
      <c r="J1399" s="1548"/>
      <c r="K1399" s="1591"/>
    </row>
    <row r="1400" spans="1:11" s="1541" customFormat="1" ht="38.25">
      <c r="A1400" s="1518" t="str">
        <f>A1398</f>
        <v>H.</v>
      </c>
      <c r="B1400" s="1518" t="str">
        <f t="shared" si="24"/>
        <v>3.</v>
      </c>
      <c r="C1400" s="1518">
        <f>C1398+1</f>
        <v>30</v>
      </c>
      <c r="D1400" s="1554" t="s">
        <v>5229</v>
      </c>
      <c r="E1400" s="1545" t="s">
        <v>34</v>
      </c>
      <c r="F1400" s="1545">
        <v>1</v>
      </c>
      <c r="G1400" s="1461"/>
      <c r="H1400" s="1557">
        <f>SUM(F1400*G1400)</f>
        <v>0</v>
      </c>
      <c r="J1400" s="1548"/>
      <c r="K1400" s="1591"/>
    </row>
    <row r="1401" spans="1:11" s="1541" customFormat="1">
      <c r="A1401" s="1518"/>
      <c r="B1401" s="1518"/>
      <c r="C1401" s="1522"/>
      <c r="D1401" s="1554"/>
      <c r="E1401" s="1545"/>
      <c r="F1401" s="1545"/>
      <c r="G1401" s="1459"/>
      <c r="H1401" s="1557"/>
      <c r="J1401" s="1548"/>
      <c r="K1401" s="1591"/>
    </row>
    <row r="1402" spans="1:11" s="1541" customFormat="1" ht="38.25">
      <c r="A1402" s="1518" t="str">
        <f>A1400</f>
        <v>H.</v>
      </c>
      <c r="B1402" s="1518" t="str">
        <f t="shared" si="24"/>
        <v>3.</v>
      </c>
      <c r="C1402" s="1518">
        <f>C1400+1</f>
        <v>31</v>
      </c>
      <c r="D1402" s="1554" t="s">
        <v>5230</v>
      </c>
      <c r="E1402" s="1545" t="s">
        <v>34</v>
      </c>
      <c r="F1402" s="1545">
        <v>1</v>
      </c>
      <c r="G1402" s="1461"/>
      <c r="H1402" s="1557">
        <f>SUM(F1402*G1402)</f>
        <v>0</v>
      </c>
      <c r="J1402" s="1548"/>
      <c r="K1402" s="1591"/>
    </row>
    <row r="1403" spans="1:11" s="1541" customFormat="1">
      <c r="A1403" s="1518"/>
      <c r="B1403" s="1518"/>
      <c r="C1403" s="1522"/>
      <c r="D1403" s="1554"/>
      <c r="E1403" s="1545"/>
      <c r="F1403" s="1545"/>
      <c r="G1403" s="1459"/>
      <c r="H1403" s="1557"/>
      <c r="J1403" s="1548"/>
      <c r="K1403" s="1591"/>
    </row>
    <row r="1404" spans="1:11" s="1541" customFormat="1" ht="25.5">
      <c r="A1404" s="1518" t="str">
        <f>A1402</f>
        <v>H.</v>
      </c>
      <c r="B1404" s="1518" t="str">
        <f t="shared" si="24"/>
        <v>3.</v>
      </c>
      <c r="C1404" s="1518">
        <f>C1402+1</f>
        <v>32</v>
      </c>
      <c r="D1404" s="1554" t="s">
        <v>5231</v>
      </c>
      <c r="E1404" s="1545" t="s">
        <v>34</v>
      </c>
      <c r="F1404" s="1545">
        <v>16</v>
      </c>
      <c r="G1404" s="1461"/>
      <c r="H1404" s="1557">
        <f>SUM(F1404*G1404)</f>
        <v>0</v>
      </c>
      <c r="J1404" s="1548"/>
      <c r="K1404" s="1591"/>
    </row>
    <row r="1405" spans="1:11" s="1541" customFormat="1">
      <c r="A1405" s="1518"/>
      <c r="B1405" s="1518"/>
      <c r="C1405" s="1522"/>
      <c r="D1405" s="1554"/>
      <c r="E1405" s="1545"/>
      <c r="F1405" s="1545"/>
      <c r="G1405" s="1459"/>
      <c r="H1405" s="1557"/>
      <c r="J1405" s="1548"/>
      <c r="K1405" s="1591"/>
    </row>
    <row r="1406" spans="1:11" s="1541" customFormat="1" ht="25.5">
      <c r="A1406" s="1518" t="str">
        <f>A1404</f>
        <v>H.</v>
      </c>
      <c r="B1406" s="1518" t="str">
        <f t="shared" si="24"/>
        <v>3.</v>
      </c>
      <c r="C1406" s="1518">
        <f>C1404+1</f>
        <v>33</v>
      </c>
      <c r="D1406" s="1554" t="s">
        <v>5232</v>
      </c>
      <c r="E1406" s="1545" t="s">
        <v>34</v>
      </c>
      <c r="F1406" s="1545">
        <v>32</v>
      </c>
      <c r="G1406" s="1461"/>
      <c r="H1406" s="1557">
        <f>SUM(F1406*G1406)</f>
        <v>0</v>
      </c>
      <c r="J1406" s="1548"/>
      <c r="K1406" s="1591"/>
    </row>
    <row r="1407" spans="1:11" s="1541" customFormat="1">
      <c r="A1407" s="1518"/>
      <c r="B1407" s="1518"/>
      <c r="C1407" s="1522"/>
      <c r="D1407" s="1554"/>
      <c r="E1407" s="1545"/>
      <c r="F1407" s="1545"/>
      <c r="G1407" s="1459"/>
      <c r="H1407" s="1557"/>
      <c r="J1407" s="1548"/>
      <c r="K1407" s="1591"/>
    </row>
    <row r="1408" spans="1:11" s="1541" customFormat="1" ht="38.25">
      <c r="A1408" s="1518" t="str">
        <f>A1406</f>
        <v>H.</v>
      </c>
      <c r="B1408" s="1518" t="str">
        <f t="shared" si="24"/>
        <v>3.</v>
      </c>
      <c r="C1408" s="1518">
        <f>C1406+1</f>
        <v>34</v>
      </c>
      <c r="D1408" s="1554" t="s">
        <v>5233</v>
      </c>
      <c r="E1408" s="1545" t="s">
        <v>34</v>
      </c>
      <c r="F1408" s="1545">
        <v>125</v>
      </c>
      <c r="G1408" s="1461"/>
      <c r="H1408" s="1557">
        <f>SUM(F1408*G1408)</f>
        <v>0</v>
      </c>
      <c r="J1408" s="1548"/>
      <c r="K1408" s="1591"/>
    </row>
    <row r="1409" spans="1:11" s="1541" customFormat="1">
      <c r="A1409" s="1518"/>
      <c r="B1409" s="1518"/>
      <c r="C1409" s="1522"/>
      <c r="D1409" s="1554"/>
      <c r="E1409" s="1545"/>
      <c r="F1409" s="1545"/>
      <c r="G1409" s="1459"/>
      <c r="H1409" s="1557"/>
      <c r="J1409" s="1548"/>
      <c r="K1409" s="1591"/>
    </row>
    <row r="1410" spans="1:11" s="1541" customFormat="1" ht="38.25">
      <c r="A1410" s="1518" t="str">
        <f>A1408</f>
        <v>H.</v>
      </c>
      <c r="B1410" s="1518" t="str">
        <f t="shared" si="24"/>
        <v>3.</v>
      </c>
      <c r="C1410" s="1518">
        <f>C1408+1</f>
        <v>35</v>
      </c>
      <c r="D1410" s="1554" t="s">
        <v>5234</v>
      </c>
      <c r="E1410" s="1545" t="s">
        <v>34</v>
      </c>
      <c r="F1410" s="1545">
        <v>255</v>
      </c>
      <c r="G1410" s="1461"/>
      <c r="H1410" s="1557">
        <f>SUM(F1410*G1410)</f>
        <v>0</v>
      </c>
      <c r="J1410" s="1548"/>
      <c r="K1410" s="1591"/>
    </row>
    <row r="1411" spans="1:11" s="1541" customFormat="1">
      <c r="A1411" s="1518"/>
      <c r="B1411" s="1518"/>
      <c r="C1411" s="1522"/>
      <c r="D1411" s="1554"/>
      <c r="E1411" s="1545"/>
      <c r="F1411" s="1594"/>
      <c r="G1411" s="1459"/>
      <c r="H1411" s="1557"/>
      <c r="J1411" s="1548"/>
      <c r="K1411" s="1591"/>
    </row>
    <row r="1412" spans="1:11" s="1541" customFormat="1" ht="25.5">
      <c r="A1412" s="1518" t="str">
        <f>A1410</f>
        <v>H.</v>
      </c>
      <c r="B1412" s="1518" t="str">
        <f t="shared" si="24"/>
        <v>3.</v>
      </c>
      <c r="C1412" s="1518">
        <f>C1410+1</f>
        <v>36</v>
      </c>
      <c r="D1412" s="1554" t="s">
        <v>5235</v>
      </c>
      <c r="E1412" s="1545" t="s">
        <v>34</v>
      </c>
      <c r="F1412" s="1545">
        <v>6</v>
      </c>
      <c r="G1412" s="1461"/>
      <c r="H1412" s="1557">
        <f>SUM(F1412*G1412)</f>
        <v>0</v>
      </c>
      <c r="J1412" s="1548"/>
      <c r="K1412" s="1591"/>
    </row>
    <row r="1413" spans="1:11" s="1541" customFormat="1">
      <c r="A1413" s="1518"/>
      <c r="B1413" s="1518"/>
      <c r="C1413" s="1522"/>
      <c r="D1413" s="1554"/>
      <c r="E1413" s="1545"/>
      <c r="F1413" s="1545"/>
      <c r="G1413" s="1459"/>
      <c r="H1413" s="1557"/>
      <c r="J1413" s="1548"/>
      <c r="K1413" s="1591"/>
    </row>
    <row r="1414" spans="1:11" s="1541" customFormat="1" ht="25.5">
      <c r="A1414" s="1518" t="str">
        <f>A1412</f>
        <v>H.</v>
      </c>
      <c r="B1414" s="1518" t="str">
        <f t="shared" si="24"/>
        <v>3.</v>
      </c>
      <c r="C1414" s="1518">
        <f>C1412+1</f>
        <v>37</v>
      </c>
      <c r="D1414" s="1554" t="s">
        <v>5236</v>
      </c>
      <c r="E1414" s="1545" t="s">
        <v>34</v>
      </c>
      <c r="F1414" s="1545">
        <v>142</v>
      </c>
      <c r="G1414" s="1461"/>
      <c r="H1414" s="1557">
        <f>SUM(F1414*G1414)</f>
        <v>0</v>
      </c>
      <c r="J1414" s="1548"/>
      <c r="K1414" s="1591"/>
    </row>
    <row r="1415" spans="1:11" s="1541" customFormat="1">
      <c r="A1415" s="1518"/>
      <c r="B1415" s="1518"/>
      <c r="C1415" s="1522"/>
      <c r="D1415" s="1554"/>
      <c r="E1415" s="1545"/>
      <c r="F1415" s="1545"/>
      <c r="G1415" s="1459"/>
      <c r="H1415" s="1557"/>
      <c r="J1415" s="1548"/>
      <c r="K1415" s="1591"/>
    </row>
    <row r="1416" spans="1:11" s="1541" customFormat="1" ht="25.5">
      <c r="A1416" s="1518" t="str">
        <f>A1414</f>
        <v>H.</v>
      </c>
      <c r="B1416" s="1518" t="str">
        <f t="shared" si="24"/>
        <v>3.</v>
      </c>
      <c r="C1416" s="1518">
        <f>C1414+1</f>
        <v>38</v>
      </c>
      <c r="D1416" s="1554" t="s">
        <v>5237</v>
      </c>
      <c r="E1416" s="1545" t="s">
        <v>34</v>
      </c>
      <c r="F1416" s="1545">
        <v>26</v>
      </c>
      <c r="G1416" s="1461"/>
      <c r="H1416" s="1557">
        <f>SUM(F1416*G1416)</f>
        <v>0</v>
      </c>
      <c r="J1416" s="1548"/>
      <c r="K1416" s="1591"/>
    </row>
    <row r="1417" spans="1:11" s="1541" customFormat="1">
      <c r="A1417" s="1518"/>
      <c r="B1417" s="1518"/>
      <c r="C1417" s="1522"/>
      <c r="D1417" s="1554"/>
      <c r="E1417" s="1545"/>
      <c r="F1417" s="1545"/>
      <c r="G1417" s="1459"/>
      <c r="H1417" s="1557"/>
      <c r="J1417" s="1548"/>
      <c r="K1417" s="1591"/>
    </row>
    <row r="1418" spans="1:11" s="1541" customFormat="1" ht="25.5">
      <c r="A1418" s="1518" t="str">
        <f>A1416</f>
        <v>H.</v>
      </c>
      <c r="B1418" s="1518" t="str">
        <f t="shared" si="24"/>
        <v>3.</v>
      </c>
      <c r="C1418" s="1518">
        <f>C1416+1</f>
        <v>39</v>
      </c>
      <c r="D1418" s="1554" t="s">
        <v>5238</v>
      </c>
      <c r="E1418" s="1545" t="s">
        <v>34</v>
      </c>
      <c r="F1418" s="1545">
        <v>1</v>
      </c>
      <c r="G1418" s="1461"/>
      <c r="H1418" s="1557">
        <f>SUM(F1418*G1418)</f>
        <v>0</v>
      </c>
      <c r="J1418" s="1548"/>
      <c r="K1418" s="1591"/>
    </row>
    <row r="1419" spans="1:11" s="1541" customFormat="1">
      <c r="A1419" s="1518"/>
      <c r="B1419" s="1518"/>
      <c r="C1419" s="1522"/>
      <c r="D1419" s="1554"/>
      <c r="E1419" s="1545"/>
      <c r="F1419" s="1545"/>
      <c r="G1419" s="1459"/>
      <c r="H1419" s="1557"/>
      <c r="J1419" s="1548"/>
      <c r="K1419" s="1591"/>
    </row>
    <row r="1420" spans="1:11" s="1541" customFormat="1">
      <c r="A1420" s="1518" t="str">
        <f>A1418</f>
        <v>H.</v>
      </c>
      <c r="B1420" s="1518" t="str">
        <f t="shared" si="24"/>
        <v>3.</v>
      </c>
      <c r="C1420" s="1518">
        <f>C1418+1</f>
        <v>40</v>
      </c>
      <c r="D1420" s="1554" t="s">
        <v>5239</v>
      </c>
      <c r="E1420" s="1545" t="s">
        <v>34</v>
      </c>
      <c r="F1420" s="1545">
        <v>26</v>
      </c>
      <c r="G1420" s="1461"/>
      <c r="H1420" s="1557">
        <f>SUM(F1420*G1420)</f>
        <v>0</v>
      </c>
      <c r="J1420" s="1548"/>
      <c r="K1420" s="1591"/>
    </row>
    <row r="1421" spans="1:11" s="1541" customFormat="1">
      <c r="A1421" s="1518"/>
      <c r="B1421" s="1518"/>
      <c r="C1421" s="1522"/>
      <c r="D1421" s="1554"/>
      <c r="E1421" s="1545"/>
      <c r="F1421" s="1594"/>
      <c r="G1421" s="1459"/>
      <c r="H1421" s="1557"/>
      <c r="J1421" s="1548"/>
      <c r="K1421" s="1591"/>
    </row>
    <row r="1422" spans="1:11" s="1541" customFormat="1">
      <c r="A1422" s="1518" t="str">
        <f>A1420</f>
        <v>H.</v>
      </c>
      <c r="B1422" s="1518" t="str">
        <f t="shared" si="24"/>
        <v>3.</v>
      </c>
      <c r="C1422" s="1518">
        <f>C1420+1</f>
        <v>41</v>
      </c>
      <c r="D1422" s="1554" t="s">
        <v>5240</v>
      </c>
      <c r="E1422" s="1545" t="s">
        <v>1160</v>
      </c>
      <c r="F1422" s="1594">
        <v>8</v>
      </c>
      <c r="G1422" s="1461"/>
      <c r="H1422" s="1557">
        <f>SUM(F1422*G1422)</f>
        <v>0</v>
      </c>
      <c r="J1422" s="1548"/>
      <c r="K1422" s="1591"/>
    </row>
    <row r="1423" spans="1:11" s="1541" customFormat="1">
      <c r="A1423" s="1518"/>
      <c r="B1423" s="1518"/>
      <c r="C1423" s="1522"/>
      <c r="D1423" s="1554"/>
      <c r="E1423" s="1545"/>
      <c r="F1423" s="1594"/>
      <c r="G1423" s="1459"/>
      <c r="H1423" s="1557"/>
      <c r="J1423" s="1548"/>
      <c r="K1423" s="1591"/>
    </row>
    <row r="1424" spans="1:11" s="1541" customFormat="1">
      <c r="A1424" s="1518" t="str">
        <f>A1422</f>
        <v>H.</v>
      </c>
      <c r="B1424" s="1518" t="str">
        <f t="shared" si="24"/>
        <v>3.</v>
      </c>
      <c r="C1424" s="1518">
        <f>C1422+1</f>
        <v>42</v>
      </c>
      <c r="D1424" s="1554" t="s">
        <v>5241</v>
      </c>
      <c r="E1424" s="1545" t="s">
        <v>1160</v>
      </c>
      <c r="F1424" s="1594">
        <f>F1422</f>
        <v>8</v>
      </c>
      <c r="G1424" s="1461"/>
      <c r="H1424" s="1557">
        <f>SUM(F1424*G1424)</f>
        <v>0</v>
      </c>
      <c r="J1424" s="1548"/>
      <c r="K1424" s="1591"/>
    </row>
    <row r="1425" spans="1:11" s="1541" customFormat="1">
      <c r="A1425" s="1518"/>
      <c r="B1425" s="1518"/>
      <c r="C1425" s="1522"/>
      <c r="D1425" s="1554"/>
      <c r="E1425" s="1545"/>
      <c r="F1425" s="1594"/>
      <c r="G1425" s="1459"/>
      <c r="H1425" s="1557"/>
      <c r="J1425" s="1548"/>
      <c r="K1425" s="1591"/>
    </row>
    <row r="1426" spans="1:11" s="1541" customFormat="1" ht="25.5">
      <c r="A1426" s="1518" t="str">
        <f>A1424</f>
        <v>H.</v>
      </c>
      <c r="B1426" s="1518" t="str">
        <f t="shared" si="24"/>
        <v>3.</v>
      </c>
      <c r="C1426" s="1518">
        <f>C1424+1</f>
        <v>43</v>
      </c>
      <c r="D1426" s="1554" t="s">
        <v>5242</v>
      </c>
      <c r="E1426" s="1545" t="s">
        <v>1160</v>
      </c>
      <c r="F1426" s="1594">
        <f>F1424</f>
        <v>8</v>
      </c>
      <c r="G1426" s="1461"/>
      <c r="H1426" s="1557">
        <f>SUM(F1426*G1426)</f>
        <v>0</v>
      </c>
      <c r="J1426" s="1548"/>
      <c r="K1426" s="1591"/>
    </row>
    <row r="1427" spans="1:11" s="1541" customFormat="1">
      <c r="A1427" s="1518"/>
      <c r="B1427" s="1518"/>
      <c r="C1427" s="1522"/>
      <c r="D1427" s="1554"/>
      <c r="E1427" s="1545"/>
      <c r="F1427" s="1594"/>
      <c r="G1427" s="1459"/>
      <c r="H1427" s="1557"/>
      <c r="J1427" s="1548"/>
      <c r="K1427" s="1591"/>
    </row>
    <row r="1428" spans="1:11" s="1541" customFormat="1">
      <c r="A1428" s="1518" t="str">
        <f>A1426</f>
        <v>H.</v>
      </c>
      <c r="B1428" s="1518" t="str">
        <f t="shared" si="24"/>
        <v>3.</v>
      </c>
      <c r="C1428" s="1518">
        <f>C1426+1</f>
        <v>44</v>
      </c>
      <c r="D1428" s="1554" t="s">
        <v>5243</v>
      </c>
      <c r="E1428" s="1545" t="s">
        <v>34</v>
      </c>
      <c r="F1428" s="1545">
        <v>4</v>
      </c>
      <c r="G1428" s="1461"/>
      <c r="H1428" s="1557">
        <f>SUM(F1428*G1428)</f>
        <v>0</v>
      </c>
      <c r="J1428" s="1548"/>
      <c r="K1428" s="1591"/>
    </row>
    <row r="1429" spans="1:11" s="1541" customFormat="1">
      <c r="A1429" s="1518"/>
      <c r="B1429" s="1518"/>
      <c r="C1429" s="1522"/>
      <c r="D1429" s="1554"/>
      <c r="E1429" s="1545"/>
      <c r="F1429" s="1545"/>
      <c r="G1429" s="1459"/>
      <c r="H1429" s="1557"/>
      <c r="J1429" s="1548"/>
      <c r="K1429" s="1591"/>
    </row>
    <row r="1430" spans="1:11" s="1541" customFormat="1" ht="25.5">
      <c r="A1430" s="1518" t="str">
        <f>A1428</f>
        <v>H.</v>
      </c>
      <c r="B1430" s="1518" t="str">
        <f t="shared" si="24"/>
        <v>3.</v>
      </c>
      <c r="C1430" s="1518">
        <f>C1428+1</f>
        <v>45</v>
      </c>
      <c r="D1430" s="1554" t="s">
        <v>5244</v>
      </c>
      <c r="E1430" s="1545" t="s">
        <v>34</v>
      </c>
      <c r="F1430" s="1545">
        <v>2</v>
      </c>
      <c r="G1430" s="1461"/>
      <c r="H1430" s="1557">
        <f>SUM(F1430*G1430)</f>
        <v>0</v>
      </c>
      <c r="J1430" s="1548"/>
      <c r="K1430" s="1591"/>
    </row>
    <row r="1431" spans="1:11" s="1541" customFormat="1">
      <c r="A1431" s="1518"/>
      <c r="B1431" s="1518"/>
      <c r="C1431" s="1522"/>
      <c r="D1431" s="1554"/>
      <c r="E1431" s="1545"/>
      <c r="F1431" s="1545"/>
      <c r="G1431" s="1459"/>
      <c r="H1431" s="1557"/>
      <c r="J1431" s="1548"/>
      <c r="K1431" s="1591"/>
    </row>
    <row r="1432" spans="1:11" s="1541" customFormat="1" ht="25.5">
      <c r="A1432" s="1518" t="str">
        <f>A1430</f>
        <v>H.</v>
      </c>
      <c r="B1432" s="1518" t="str">
        <f t="shared" si="24"/>
        <v>3.</v>
      </c>
      <c r="C1432" s="1518">
        <f>C1430+1</f>
        <v>46</v>
      </c>
      <c r="D1432" s="1554" t="s">
        <v>5245</v>
      </c>
      <c r="E1432" s="1545" t="s">
        <v>34</v>
      </c>
      <c r="F1432" s="1545">
        <v>1</v>
      </c>
      <c r="G1432" s="1461"/>
      <c r="H1432" s="1557">
        <f>SUM(F1432*G1432)</f>
        <v>0</v>
      </c>
      <c r="J1432" s="1548"/>
      <c r="K1432" s="1591"/>
    </row>
    <row r="1433" spans="1:11" s="1541" customFormat="1">
      <c r="A1433" s="1518"/>
      <c r="B1433" s="1518"/>
      <c r="C1433" s="1522"/>
      <c r="D1433" s="1554"/>
      <c r="E1433" s="1545"/>
      <c r="F1433" s="1545"/>
      <c r="G1433" s="1459"/>
      <c r="H1433" s="1557"/>
      <c r="J1433" s="1548"/>
      <c r="K1433" s="1591"/>
    </row>
    <row r="1434" spans="1:11" s="1541" customFormat="1" ht="38.25">
      <c r="A1434" s="1518" t="str">
        <f>A1432</f>
        <v>H.</v>
      </c>
      <c r="B1434" s="1518" t="str">
        <f t="shared" si="24"/>
        <v>3.</v>
      </c>
      <c r="C1434" s="1518">
        <f>C1432+1</f>
        <v>47</v>
      </c>
      <c r="D1434" s="1554" t="s">
        <v>5246</v>
      </c>
      <c r="E1434" s="1545" t="s">
        <v>34</v>
      </c>
      <c r="F1434" s="1545">
        <v>50</v>
      </c>
      <c r="G1434" s="1461"/>
      <c r="H1434" s="1557">
        <f>SUM(F1434*G1434)</f>
        <v>0</v>
      </c>
      <c r="J1434" s="1548"/>
      <c r="K1434" s="1591"/>
    </row>
    <row r="1435" spans="1:11" s="1541" customFormat="1">
      <c r="A1435" s="1518"/>
      <c r="B1435" s="1518"/>
      <c r="C1435" s="1522"/>
      <c r="D1435" s="1554"/>
      <c r="E1435" s="1545"/>
      <c r="F1435" s="1545"/>
      <c r="G1435" s="1459"/>
      <c r="H1435" s="1557"/>
      <c r="J1435" s="1548"/>
      <c r="K1435" s="1591"/>
    </row>
    <row r="1436" spans="1:11" s="1541" customFormat="1" ht="38.25">
      <c r="A1436" s="1518" t="str">
        <f>A1434</f>
        <v>H.</v>
      </c>
      <c r="B1436" s="1518" t="str">
        <f t="shared" ref="B1436:B1444" si="25">B1434</f>
        <v>3.</v>
      </c>
      <c r="C1436" s="1518">
        <f>C1434+1</f>
        <v>48</v>
      </c>
      <c r="D1436" s="1554" t="s">
        <v>5247</v>
      </c>
      <c r="E1436" s="1545" t="s">
        <v>34</v>
      </c>
      <c r="F1436" s="1545">
        <v>10</v>
      </c>
      <c r="G1436" s="1461"/>
      <c r="H1436" s="1557">
        <f>SUM(F1436*G1436)</f>
        <v>0</v>
      </c>
      <c r="J1436" s="1548"/>
      <c r="K1436" s="1591"/>
    </row>
    <row r="1437" spans="1:11" s="1541" customFormat="1">
      <c r="A1437" s="1518"/>
      <c r="B1437" s="1518"/>
      <c r="C1437" s="1522"/>
      <c r="D1437" s="1554"/>
      <c r="E1437" s="1545"/>
      <c r="F1437" s="1545"/>
      <c r="G1437" s="1459"/>
      <c r="H1437" s="1557"/>
      <c r="J1437" s="1548"/>
      <c r="K1437" s="1591"/>
    </row>
    <row r="1438" spans="1:11" s="1541" customFormat="1" ht="25.5">
      <c r="A1438" s="1518" t="str">
        <f>A1436</f>
        <v>H.</v>
      </c>
      <c r="B1438" s="1518" t="str">
        <f t="shared" si="25"/>
        <v>3.</v>
      </c>
      <c r="C1438" s="1518">
        <f>C1436+1</f>
        <v>49</v>
      </c>
      <c r="D1438" s="1554" t="s">
        <v>5248</v>
      </c>
      <c r="E1438" s="1545" t="s">
        <v>34</v>
      </c>
      <c r="F1438" s="1545">
        <v>160</v>
      </c>
      <c r="G1438" s="1461"/>
      <c r="H1438" s="1557">
        <f>SUM(F1438*G1438)</f>
        <v>0</v>
      </c>
      <c r="J1438" s="1548"/>
      <c r="K1438" s="1591"/>
    </row>
    <row r="1439" spans="1:11" s="1541" customFormat="1">
      <c r="A1439" s="1518"/>
      <c r="B1439" s="1518"/>
      <c r="C1439" s="1522"/>
      <c r="D1439" s="1554"/>
      <c r="E1439" s="1545"/>
      <c r="F1439" s="1545"/>
      <c r="G1439" s="1459"/>
      <c r="H1439" s="1557"/>
      <c r="J1439" s="1548"/>
      <c r="K1439" s="1591"/>
    </row>
    <row r="1440" spans="1:11" s="1541" customFormat="1" ht="25.5">
      <c r="A1440" s="1518" t="str">
        <f>A1438</f>
        <v>H.</v>
      </c>
      <c r="B1440" s="1518" t="str">
        <f t="shared" si="25"/>
        <v>3.</v>
      </c>
      <c r="C1440" s="1518">
        <f>C1438+1</f>
        <v>50</v>
      </c>
      <c r="D1440" s="1554" t="s">
        <v>5249</v>
      </c>
      <c r="E1440" s="1545" t="s">
        <v>34</v>
      </c>
      <c r="F1440" s="1545">
        <v>2</v>
      </c>
      <c r="G1440" s="1461"/>
      <c r="H1440" s="1557">
        <f>SUM(F1440*G1440)</f>
        <v>0</v>
      </c>
      <c r="J1440" s="1548"/>
      <c r="K1440" s="1591"/>
    </row>
    <row r="1441" spans="1:11" s="1541" customFormat="1">
      <c r="A1441" s="1518"/>
      <c r="B1441" s="1518"/>
      <c r="C1441" s="1522"/>
      <c r="D1441" s="1554"/>
      <c r="E1441" s="1545"/>
      <c r="F1441" s="1545"/>
      <c r="G1441" s="1459"/>
      <c r="H1441" s="1557"/>
      <c r="J1441" s="1548"/>
      <c r="K1441" s="1591"/>
    </row>
    <row r="1442" spans="1:11" s="1541" customFormat="1" ht="25.5">
      <c r="A1442" s="1518" t="str">
        <f>A1440</f>
        <v>H.</v>
      </c>
      <c r="B1442" s="1518" t="str">
        <f t="shared" si="25"/>
        <v>3.</v>
      </c>
      <c r="C1442" s="1518">
        <f>C1440+1</f>
        <v>51</v>
      </c>
      <c r="D1442" s="1554" t="s">
        <v>5250</v>
      </c>
      <c r="E1442" s="1545" t="s">
        <v>34</v>
      </c>
      <c r="F1442" s="1545">
        <v>104</v>
      </c>
      <c r="G1442" s="1461"/>
      <c r="H1442" s="1557">
        <f>SUM(F1442*G1442)</f>
        <v>0</v>
      </c>
      <c r="J1442" s="1548"/>
      <c r="K1442" s="1591"/>
    </row>
    <row r="1443" spans="1:11" s="1541" customFormat="1">
      <c r="A1443" s="1518"/>
      <c r="B1443" s="1518"/>
      <c r="C1443" s="1522"/>
      <c r="D1443" s="1554"/>
      <c r="E1443" s="1545"/>
      <c r="F1443" s="1594"/>
      <c r="G1443" s="1459"/>
      <c r="H1443" s="1557"/>
      <c r="J1443" s="1548"/>
      <c r="K1443" s="1591"/>
    </row>
    <row r="1444" spans="1:11" s="1541" customFormat="1">
      <c r="A1444" s="1518" t="str">
        <f>A1442</f>
        <v>H.</v>
      </c>
      <c r="B1444" s="1518" t="str">
        <f t="shared" si="25"/>
        <v>3.</v>
      </c>
      <c r="C1444" s="1518">
        <f>C1442+1</f>
        <v>52</v>
      </c>
      <c r="D1444" s="1554" t="s">
        <v>5251</v>
      </c>
      <c r="E1444" s="1545"/>
      <c r="F1444" s="1594"/>
      <c r="G1444" s="1459"/>
      <c r="H1444" s="1557"/>
      <c r="J1444" s="1548"/>
      <c r="K1444" s="1591"/>
    </row>
    <row r="1445" spans="1:11" s="1541" customFormat="1">
      <c r="A1445" s="1518"/>
      <c r="B1445" s="1518"/>
      <c r="C1445" s="1522"/>
      <c r="D1445" s="1554" t="s">
        <v>5252</v>
      </c>
      <c r="E1445" s="1545"/>
      <c r="F1445" s="1545"/>
      <c r="G1445" s="1459"/>
      <c r="H1445" s="1557"/>
      <c r="J1445" s="1548"/>
      <c r="K1445" s="1591"/>
    </row>
    <row r="1446" spans="1:11" s="1541" customFormat="1" ht="25.5">
      <c r="A1446" s="1518"/>
      <c r="B1446" s="1518"/>
      <c r="C1446" s="1522"/>
      <c r="D1446" s="1554" t="s">
        <v>5253</v>
      </c>
      <c r="E1446" s="1545"/>
      <c r="F1446" s="1545"/>
      <c r="G1446" s="1459"/>
      <c r="H1446" s="1557"/>
      <c r="J1446" s="1548"/>
      <c r="K1446" s="1591"/>
    </row>
    <row r="1447" spans="1:11" s="1541" customFormat="1">
      <c r="A1447" s="1518"/>
      <c r="B1447" s="1518"/>
      <c r="C1447" s="1522"/>
      <c r="D1447" s="1554" t="s">
        <v>5254</v>
      </c>
      <c r="E1447" s="1545"/>
      <c r="F1447" s="1545"/>
      <c r="G1447" s="1459"/>
      <c r="H1447" s="1557"/>
      <c r="J1447" s="1548"/>
      <c r="K1447" s="1591"/>
    </row>
    <row r="1448" spans="1:11" s="1541" customFormat="1">
      <c r="A1448" s="1518"/>
      <c r="B1448" s="1518"/>
      <c r="C1448" s="1522"/>
      <c r="D1448" s="1554" t="s">
        <v>5255</v>
      </c>
      <c r="E1448" s="1545"/>
      <c r="F1448" s="1545"/>
      <c r="G1448" s="1459"/>
      <c r="H1448" s="1557"/>
      <c r="J1448" s="1548"/>
      <c r="K1448" s="1591"/>
    </row>
    <row r="1449" spans="1:11" s="1541" customFormat="1">
      <c r="A1449" s="1518"/>
      <c r="B1449" s="1518"/>
      <c r="C1449" s="1522"/>
      <c r="D1449" s="1554" t="s">
        <v>5256</v>
      </c>
      <c r="E1449" s="1545"/>
      <c r="F1449" s="1545"/>
      <c r="G1449" s="1459"/>
      <c r="H1449" s="1557"/>
      <c r="J1449" s="1548"/>
      <c r="K1449" s="1591"/>
    </row>
    <row r="1450" spans="1:11" s="1541" customFormat="1">
      <c r="A1450" s="1518"/>
      <c r="B1450" s="1518"/>
      <c r="C1450" s="1522" t="s">
        <v>55</v>
      </c>
      <c r="D1450" s="1554"/>
      <c r="E1450" s="1545" t="s">
        <v>2243</v>
      </c>
      <c r="F1450" s="1545">
        <v>2</v>
      </c>
      <c r="G1450" s="1461"/>
      <c r="H1450" s="1557">
        <f>SUM(F1450*G1450)</f>
        <v>0</v>
      </c>
      <c r="J1450" s="1548"/>
      <c r="K1450" s="1591"/>
    </row>
    <row r="1451" spans="1:11" s="1541" customFormat="1">
      <c r="A1451" s="1518"/>
      <c r="B1451" s="1518"/>
      <c r="C1451" s="1522"/>
      <c r="D1451" s="1554"/>
      <c r="E1451" s="1545"/>
      <c r="F1451" s="1545"/>
      <c r="G1451" s="1459"/>
      <c r="H1451" s="1557"/>
      <c r="J1451" s="1548"/>
      <c r="K1451" s="1591"/>
    </row>
    <row r="1452" spans="1:11" s="1541" customFormat="1">
      <c r="A1452" s="1518" t="str">
        <f>A1444</f>
        <v>H.</v>
      </c>
      <c r="B1452" s="1518" t="str">
        <f t="shared" ref="B1452" si="26">B1444</f>
        <v>3.</v>
      </c>
      <c r="C1452" s="1518">
        <f>C1444+1</f>
        <v>53</v>
      </c>
      <c r="D1452" s="1554" t="s">
        <v>5257</v>
      </c>
      <c r="E1452" s="1545" t="s">
        <v>34</v>
      </c>
      <c r="F1452" s="1545">
        <v>4</v>
      </c>
      <c r="G1452" s="1461"/>
      <c r="H1452" s="1557">
        <f>SUM(F1452*G1452)</f>
        <v>0</v>
      </c>
      <c r="J1452" s="1548"/>
      <c r="K1452" s="1591"/>
    </row>
    <row r="1453" spans="1:11" s="1541" customFormat="1">
      <c r="A1453" s="1518"/>
      <c r="B1453" s="1518"/>
      <c r="C1453" s="1522"/>
      <c r="D1453" s="1554"/>
      <c r="E1453" s="1545"/>
      <c r="F1453" s="1545"/>
      <c r="G1453" s="1459"/>
      <c r="H1453" s="1557"/>
      <c r="J1453" s="1548"/>
      <c r="K1453" s="1591"/>
    </row>
    <row r="1454" spans="1:11" s="1541" customFormat="1" ht="25.5">
      <c r="A1454" s="1518" t="str">
        <f>A1452</f>
        <v>H.</v>
      </c>
      <c r="B1454" s="1518" t="str">
        <f t="shared" ref="B1454" si="27">B1452</f>
        <v>3.</v>
      </c>
      <c r="C1454" s="1518">
        <f>C1452+1</f>
        <v>54</v>
      </c>
      <c r="D1454" s="1554" t="s">
        <v>5258</v>
      </c>
      <c r="E1454" s="1545"/>
      <c r="F1454" s="1545"/>
      <c r="G1454" s="1459"/>
      <c r="H1454" s="1557"/>
      <c r="J1454" s="1548"/>
      <c r="K1454" s="1591"/>
    </row>
    <row r="1455" spans="1:11" s="1541" customFormat="1">
      <c r="A1455" s="1518"/>
      <c r="B1455" s="1518"/>
      <c r="C1455" s="1522"/>
      <c r="D1455" s="1554" t="s">
        <v>5259</v>
      </c>
      <c r="E1455" s="1545"/>
      <c r="F1455" s="1545"/>
      <c r="G1455" s="1459"/>
      <c r="H1455" s="1557"/>
      <c r="J1455" s="1548"/>
      <c r="K1455" s="1591"/>
    </row>
    <row r="1456" spans="1:11" s="1541" customFormat="1">
      <c r="A1456" s="1518"/>
      <c r="B1456" s="1518"/>
      <c r="C1456" s="1522"/>
      <c r="D1456" s="1554" t="s">
        <v>5260</v>
      </c>
      <c r="E1456" s="1545"/>
      <c r="F1456" s="1545"/>
      <c r="G1456" s="1459"/>
      <c r="H1456" s="1557"/>
      <c r="J1456" s="1548"/>
      <c r="K1456" s="1591"/>
    </row>
    <row r="1457" spans="1:11" s="1541" customFormat="1">
      <c r="A1457" s="1518"/>
      <c r="B1457" s="1518"/>
      <c r="C1457" s="1522"/>
      <c r="D1457" s="1554" t="s">
        <v>5261</v>
      </c>
      <c r="E1457" s="1545"/>
      <c r="F1457" s="1545"/>
      <c r="G1457" s="1459"/>
      <c r="H1457" s="1557"/>
      <c r="J1457" s="1548"/>
      <c r="K1457" s="1591"/>
    </row>
    <row r="1458" spans="1:11" s="1541" customFormat="1">
      <c r="A1458" s="1518"/>
      <c r="B1458" s="1518"/>
      <c r="C1458" s="1522"/>
      <c r="D1458" s="1554" t="s">
        <v>5262</v>
      </c>
      <c r="E1458" s="1545"/>
      <c r="F1458" s="1545"/>
      <c r="G1458" s="1459"/>
      <c r="H1458" s="1557"/>
      <c r="J1458" s="1548"/>
      <c r="K1458" s="1591"/>
    </row>
    <row r="1459" spans="1:11" s="1541" customFormat="1">
      <c r="A1459" s="1518"/>
      <c r="B1459" s="1518"/>
      <c r="C1459" s="1522"/>
      <c r="D1459" s="1554" t="s">
        <v>5263</v>
      </c>
      <c r="E1459" s="1545"/>
      <c r="F1459" s="1545"/>
      <c r="G1459" s="1459"/>
      <c r="H1459" s="1557"/>
      <c r="J1459" s="1548"/>
      <c r="K1459" s="1591"/>
    </row>
    <row r="1460" spans="1:11" s="1541" customFormat="1">
      <c r="A1460" s="1518"/>
      <c r="B1460" s="1518"/>
      <c r="C1460" s="1522"/>
      <c r="D1460" s="1554" t="s">
        <v>5264</v>
      </c>
      <c r="E1460" s="1545"/>
      <c r="F1460" s="1545"/>
      <c r="G1460" s="1459"/>
      <c r="H1460" s="1557"/>
      <c r="J1460" s="1548"/>
      <c r="K1460" s="1591"/>
    </row>
    <row r="1461" spans="1:11" s="1541" customFormat="1">
      <c r="A1461" s="1518"/>
      <c r="B1461" s="1518"/>
      <c r="C1461" s="1522"/>
      <c r="D1461" s="1554" t="s">
        <v>5265</v>
      </c>
      <c r="E1461" s="1545"/>
      <c r="F1461" s="1545"/>
      <c r="G1461" s="1459"/>
      <c r="H1461" s="1557"/>
      <c r="J1461" s="1548"/>
      <c r="K1461" s="1591"/>
    </row>
    <row r="1462" spans="1:11" s="1541" customFormat="1">
      <c r="A1462" s="1518"/>
      <c r="B1462" s="1518"/>
      <c r="C1462" s="1522" t="s">
        <v>55</v>
      </c>
      <c r="D1462" s="1554"/>
      <c r="E1462" s="1563" t="s">
        <v>2243</v>
      </c>
      <c r="F1462" s="1545">
        <v>2</v>
      </c>
      <c r="G1462" s="1461"/>
      <c r="H1462" s="1557">
        <f>SUM(F1462*G1462)</f>
        <v>0</v>
      </c>
      <c r="J1462" s="1548"/>
      <c r="K1462" s="1591"/>
    </row>
    <row r="1463" spans="1:11" s="1541" customFormat="1">
      <c r="A1463" s="1518"/>
      <c r="B1463" s="1518"/>
      <c r="C1463" s="1522"/>
      <c r="D1463" s="1554"/>
      <c r="E1463" s="1563"/>
      <c r="F1463" s="1545"/>
      <c r="G1463" s="1459"/>
      <c r="H1463" s="1557"/>
      <c r="J1463" s="1548"/>
      <c r="K1463" s="1591"/>
    </row>
    <row r="1464" spans="1:11" s="1541" customFormat="1" ht="38.25">
      <c r="A1464" s="1518" t="str">
        <f>A1454</f>
        <v>H.</v>
      </c>
      <c r="B1464" s="1518" t="str">
        <f t="shared" ref="B1464" si="28">B1454</f>
        <v>3.</v>
      </c>
      <c r="C1464" s="1518">
        <f>C1454+1</f>
        <v>55</v>
      </c>
      <c r="D1464" s="1554" t="s">
        <v>5266</v>
      </c>
      <c r="E1464" s="1563"/>
      <c r="F1464" s="1545"/>
      <c r="G1464" s="1459"/>
      <c r="H1464" s="1557"/>
      <c r="J1464" s="1548"/>
      <c r="K1464" s="1591"/>
    </row>
    <row r="1465" spans="1:11" s="1541" customFormat="1" ht="25.5">
      <c r="D1465" s="1554" t="s">
        <v>5267</v>
      </c>
      <c r="E1465" s="1563"/>
      <c r="F1465" s="1545"/>
      <c r="G1465" s="1459"/>
      <c r="H1465" s="1557"/>
      <c r="J1465" s="1548"/>
      <c r="K1465" s="1591"/>
    </row>
    <row r="1466" spans="1:11" s="1541" customFormat="1">
      <c r="A1466" s="1518"/>
      <c r="B1466" s="1518"/>
      <c r="C1466" s="1522" t="s">
        <v>55</v>
      </c>
      <c r="D1466" s="1554" t="s">
        <v>5268</v>
      </c>
      <c r="E1466" s="1563" t="s">
        <v>2243</v>
      </c>
      <c r="F1466" s="1545">
        <v>4</v>
      </c>
      <c r="G1466" s="1461"/>
      <c r="H1466" s="1557">
        <f>SUM(F1466*G1466)</f>
        <v>0</v>
      </c>
      <c r="J1466" s="1548"/>
      <c r="K1466" s="1591"/>
    </row>
    <row r="1467" spans="1:11" s="1541" customFormat="1">
      <c r="A1467" s="1518"/>
      <c r="B1467" s="1518"/>
      <c r="C1467" s="1522"/>
      <c r="D1467" s="1554"/>
      <c r="E1467" s="1563"/>
      <c r="F1467" s="1545"/>
      <c r="G1467" s="1459"/>
      <c r="H1467" s="1557"/>
      <c r="J1467" s="1548"/>
      <c r="K1467" s="1591"/>
    </row>
    <row r="1468" spans="1:11" s="1541" customFormat="1" ht="25.5">
      <c r="A1468" s="1518" t="str">
        <f>A1464</f>
        <v>H.</v>
      </c>
      <c r="B1468" s="1518" t="str">
        <f t="shared" ref="B1468" si="29">B1464</f>
        <v>3.</v>
      </c>
      <c r="C1468" s="1518">
        <f>C1464+1</f>
        <v>56</v>
      </c>
      <c r="D1468" s="1554" t="s">
        <v>5269</v>
      </c>
      <c r="E1468" s="1563"/>
      <c r="F1468" s="1545"/>
      <c r="G1468" s="1459"/>
      <c r="H1468" s="1557"/>
      <c r="J1468" s="1548"/>
      <c r="K1468" s="1591"/>
    </row>
    <row r="1469" spans="1:11" s="1541" customFormat="1">
      <c r="A1469" s="1518"/>
      <c r="B1469" s="1518"/>
      <c r="C1469" s="1518"/>
      <c r="D1469" s="1554" t="s">
        <v>5270</v>
      </c>
      <c r="E1469" s="1563"/>
      <c r="F1469" s="1545"/>
      <c r="G1469" s="1459"/>
      <c r="H1469" s="1557"/>
      <c r="J1469" s="1548"/>
      <c r="K1469" s="1591"/>
    </row>
    <row r="1470" spans="1:11" s="1541" customFormat="1">
      <c r="A1470" s="1518"/>
      <c r="B1470" s="1518"/>
      <c r="C1470" s="1518"/>
      <c r="D1470" s="1554" t="s">
        <v>5271</v>
      </c>
      <c r="E1470" s="1563"/>
      <c r="F1470" s="1545"/>
      <c r="G1470" s="1459"/>
      <c r="H1470" s="1557"/>
      <c r="J1470" s="1548"/>
      <c r="K1470" s="1591"/>
    </row>
    <row r="1471" spans="1:11" s="1541" customFormat="1" ht="25.5">
      <c r="D1471" s="1554" t="s">
        <v>5267</v>
      </c>
      <c r="E1471" s="1563"/>
      <c r="F1471" s="1545"/>
      <c r="G1471" s="1459"/>
      <c r="H1471" s="1557"/>
      <c r="J1471" s="1548"/>
      <c r="K1471" s="1591"/>
    </row>
    <row r="1472" spans="1:11" s="1541" customFormat="1">
      <c r="A1472" s="1518"/>
      <c r="B1472" s="1518"/>
      <c r="C1472" s="1522" t="s">
        <v>55</v>
      </c>
      <c r="D1472" s="1554" t="s">
        <v>5272</v>
      </c>
      <c r="E1472" s="1563" t="s">
        <v>2243</v>
      </c>
      <c r="F1472" s="1545">
        <v>4</v>
      </c>
      <c r="G1472" s="1461"/>
      <c r="H1472" s="1557">
        <f>SUM(F1472*G1472)</f>
        <v>0</v>
      </c>
      <c r="J1472" s="1548"/>
      <c r="K1472" s="1591"/>
    </row>
    <row r="1473" spans="1:11" s="1541" customFormat="1">
      <c r="A1473" s="1518"/>
      <c r="B1473" s="1518"/>
      <c r="C1473" s="1522"/>
      <c r="D1473" s="1554"/>
      <c r="E1473" s="1545"/>
      <c r="F1473" s="1594"/>
      <c r="G1473" s="1459"/>
      <c r="H1473" s="1557"/>
      <c r="J1473" s="1548"/>
      <c r="K1473" s="1591"/>
    </row>
    <row r="1474" spans="1:11" s="1541" customFormat="1" ht="38.25">
      <c r="A1474" s="1518" t="str">
        <f>A1468</f>
        <v>H.</v>
      </c>
      <c r="B1474" s="1518" t="str">
        <f t="shared" ref="B1474" si="30">B1468</f>
        <v>3.</v>
      </c>
      <c r="C1474" s="1518">
        <f>C1468+1</f>
        <v>57</v>
      </c>
      <c r="D1474" s="1554" t="s">
        <v>5273</v>
      </c>
      <c r="E1474" s="1545" t="s">
        <v>1160</v>
      </c>
      <c r="F1474" s="1594">
        <v>40</v>
      </c>
      <c r="G1474" s="1461"/>
      <c r="H1474" s="1557">
        <f>SUM(F1474*G1474)</f>
        <v>0</v>
      </c>
      <c r="J1474" s="1548"/>
      <c r="K1474" s="1591"/>
    </row>
    <row r="1475" spans="1:11" s="1541" customFormat="1">
      <c r="A1475" s="1518"/>
      <c r="B1475" s="1518"/>
      <c r="C1475" s="1522"/>
      <c r="D1475" s="1554"/>
      <c r="E1475" s="1545"/>
      <c r="F1475" s="1594"/>
      <c r="G1475" s="1459"/>
      <c r="H1475" s="1557"/>
      <c r="J1475" s="1548"/>
      <c r="K1475" s="1591"/>
    </row>
    <row r="1476" spans="1:11" s="1541" customFormat="1" ht="38.25">
      <c r="A1476" s="1518" t="str">
        <f>A1474</f>
        <v>H.</v>
      </c>
      <c r="B1476" s="1518" t="str">
        <f t="shared" ref="B1476:B1496" si="31">B1474</f>
        <v>3.</v>
      </c>
      <c r="C1476" s="1518">
        <f>C1474+1</f>
        <v>58</v>
      </c>
      <c r="D1476" s="1554" t="s">
        <v>5274</v>
      </c>
      <c r="E1476" s="1545" t="s">
        <v>1160</v>
      </c>
      <c r="F1476" s="1594">
        <v>520</v>
      </c>
      <c r="G1476" s="1461"/>
      <c r="H1476" s="1557">
        <f>SUM(F1476*G1476)</f>
        <v>0</v>
      </c>
      <c r="J1476" s="1548"/>
      <c r="K1476" s="1591"/>
    </row>
    <row r="1477" spans="1:11" s="1541" customFormat="1">
      <c r="A1477" s="1518"/>
      <c r="B1477" s="1518"/>
      <c r="C1477" s="1522"/>
      <c r="D1477" s="1554"/>
      <c r="E1477" s="1545"/>
      <c r="F1477" s="1594"/>
      <c r="G1477" s="1459"/>
      <c r="H1477" s="1557"/>
      <c r="J1477" s="1548"/>
      <c r="K1477" s="1591"/>
    </row>
    <row r="1478" spans="1:11" s="1541" customFormat="1" ht="38.25">
      <c r="A1478" s="1518" t="str">
        <f>A1476</f>
        <v>H.</v>
      </c>
      <c r="B1478" s="1518" t="str">
        <f t="shared" si="31"/>
        <v>3.</v>
      </c>
      <c r="C1478" s="1518">
        <f>C1476+1</f>
        <v>59</v>
      </c>
      <c r="D1478" s="1554" t="s">
        <v>5275</v>
      </c>
      <c r="E1478" s="1545" t="s">
        <v>1160</v>
      </c>
      <c r="F1478" s="1594">
        <v>800</v>
      </c>
      <c r="G1478" s="1461"/>
      <c r="H1478" s="1557">
        <f>SUM(F1478*G1478)</f>
        <v>0</v>
      </c>
      <c r="J1478" s="1548"/>
      <c r="K1478" s="1591"/>
    </row>
    <row r="1479" spans="1:11" s="1541" customFormat="1">
      <c r="A1479" s="1518"/>
      <c r="B1479" s="1518"/>
      <c r="C1479" s="1522"/>
      <c r="D1479" s="1554"/>
      <c r="E1479" s="1545"/>
      <c r="F1479" s="1594"/>
      <c r="G1479" s="1459"/>
      <c r="H1479" s="1557"/>
      <c r="J1479" s="1548"/>
      <c r="K1479" s="1591"/>
    </row>
    <row r="1480" spans="1:11" s="1541" customFormat="1" ht="38.25">
      <c r="A1480" s="1518" t="str">
        <f>A1478</f>
        <v>H.</v>
      </c>
      <c r="B1480" s="1518" t="str">
        <f t="shared" si="31"/>
        <v>3.</v>
      </c>
      <c r="C1480" s="1518">
        <f>C1478+1</f>
        <v>60</v>
      </c>
      <c r="D1480" s="1554" t="s">
        <v>5276</v>
      </c>
      <c r="E1480" s="1545" t="s">
        <v>1160</v>
      </c>
      <c r="F1480" s="1594">
        <v>20</v>
      </c>
      <c r="G1480" s="1461"/>
      <c r="H1480" s="1557">
        <f>SUM(F1480*G1480)</f>
        <v>0</v>
      </c>
      <c r="J1480" s="1548"/>
      <c r="K1480" s="1591"/>
    </row>
    <row r="1481" spans="1:11" s="1541" customFormat="1">
      <c r="A1481" s="1518"/>
      <c r="B1481" s="1518"/>
      <c r="C1481" s="1522"/>
      <c r="D1481" s="1554"/>
      <c r="E1481" s="1545"/>
      <c r="F1481" s="1594"/>
      <c r="G1481" s="1459"/>
      <c r="H1481" s="1557"/>
      <c r="J1481" s="1548"/>
      <c r="K1481" s="1591"/>
    </row>
    <row r="1482" spans="1:11" s="1541" customFormat="1" ht="51">
      <c r="A1482" s="1518" t="str">
        <f>A1480</f>
        <v>H.</v>
      </c>
      <c r="B1482" s="1518" t="str">
        <f t="shared" si="31"/>
        <v>3.</v>
      </c>
      <c r="C1482" s="1518">
        <f>C1480+1</f>
        <v>61</v>
      </c>
      <c r="D1482" s="1554" t="s">
        <v>5277</v>
      </c>
      <c r="E1482" s="1545" t="s">
        <v>1160</v>
      </c>
      <c r="F1482" s="1594">
        <v>50</v>
      </c>
      <c r="G1482" s="1461"/>
      <c r="H1482" s="1557">
        <f>SUM(F1482*G1482)</f>
        <v>0</v>
      </c>
      <c r="J1482" s="1548"/>
      <c r="K1482" s="1591"/>
    </row>
    <row r="1483" spans="1:11" s="1541" customFormat="1">
      <c r="A1483" s="1518"/>
      <c r="B1483" s="1518"/>
      <c r="C1483" s="1522"/>
      <c r="D1483" s="1554"/>
      <c r="E1483" s="1545"/>
      <c r="F1483" s="1594"/>
      <c r="G1483" s="1459"/>
      <c r="H1483" s="1557"/>
      <c r="J1483" s="1548"/>
      <c r="K1483" s="1591"/>
    </row>
    <row r="1484" spans="1:11" s="1541" customFormat="1">
      <c r="A1484" s="1518" t="str">
        <f>A1482</f>
        <v>H.</v>
      </c>
      <c r="B1484" s="1518" t="str">
        <f t="shared" si="31"/>
        <v>3.</v>
      </c>
      <c r="C1484" s="1518">
        <f>C1482+1</f>
        <v>62</v>
      </c>
      <c r="D1484" s="1554" t="s">
        <v>5278</v>
      </c>
      <c r="E1484" s="1545" t="s">
        <v>1160</v>
      </c>
      <c r="F1484" s="1594">
        <v>4800</v>
      </c>
      <c r="G1484" s="1461"/>
      <c r="H1484" s="1557">
        <f>SUM(F1484*G1484)</f>
        <v>0</v>
      </c>
      <c r="J1484" s="1548"/>
      <c r="K1484" s="1591"/>
    </row>
    <row r="1485" spans="1:11" s="1541" customFormat="1">
      <c r="A1485" s="1518"/>
      <c r="B1485" s="1518"/>
      <c r="C1485" s="1522"/>
      <c r="D1485" s="1554"/>
      <c r="E1485" s="1545"/>
      <c r="F1485" s="1594"/>
      <c r="G1485" s="1459"/>
      <c r="H1485" s="1557"/>
      <c r="J1485" s="1548"/>
      <c r="K1485" s="1591"/>
    </row>
    <row r="1486" spans="1:11" s="1541" customFormat="1">
      <c r="A1486" s="1518" t="str">
        <f>A1484</f>
        <v>H.</v>
      </c>
      <c r="B1486" s="1518" t="str">
        <f t="shared" si="31"/>
        <v>3.</v>
      </c>
      <c r="C1486" s="1518">
        <f>C1484+1</f>
        <v>63</v>
      </c>
      <c r="D1486" s="1554" t="s">
        <v>5279</v>
      </c>
      <c r="E1486" s="1545" t="s">
        <v>1160</v>
      </c>
      <c r="F1486" s="1594">
        <v>12450</v>
      </c>
      <c r="G1486" s="1461"/>
      <c r="H1486" s="1557">
        <f>SUM(F1486*G1486)</f>
        <v>0</v>
      </c>
      <c r="J1486" s="1548"/>
      <c r="K1486" s="1591"/>
    </row>
    <row r="1487" spans="1:11" s="1541" customFormat="1">
      <c r="A1487" s="1518"/>
      <c r="B1487" s="1518"/>
      <c r="C1487" s="1522"/>
      <c r="D1487" s="1554"/>
      <c r="E1487" s="1545"/>
      <c r="F1487" s="1594"/>
      <c r="G1487" s="1459"/>
      <c r="H1487" s="1557"/>
      <c r="J1487" s="1548"/>
      <c r="K1487" s="1591"/>
    </row>
    <row r="1488" spans="1:11" s="1541" customFormat="1">
      <c r="A1488" s="1518" t="str">
        <f>A1486</f>
        <v>H.</v>
      </c>
      <c r="B1488" s="1518" t="str">
        <f t="shared" si="31"/>
        <v>3.</v>
      </c>
      <c r="C1488" s="1518">
        <f>C1486+1</f>
        <v>64</v>
      </c>
      <c r="D1488" s="1554" t="s">
        <v>5280</v>
      </c>
      <c r="E1488" s="1545" t="s">
        <v>1160</v>
      </c>
      <c r="F1488" s="1594">
        <v>426</v>
      </c>
      <c r="G1488" s="1461"/>
      <c r="H1488" s="1557">
        <f>SUM(F1488*G1488)</f>
        <v>0</v>
      </c>
      <c r="J1488" s="1548"/>
      <c r="K1488" s="1591"/>
    </row>
    <row r="1489" spans="1:11" s="1541" customFormat="1">
      <c r="A1489" s="1518"/>
      <c r="B1489" s="1518"/>
      <c r="C1489" s="1522"/>
      <c r="D1489" s="1554"/>
      <c r="E1489" s="1545"/>
      <c r="F1489" s="1594"/>
      <c r="G1489" s="1459"/>
      <c r="H1489" s="1557"/>
      <c r="J1489" s="1548"/>
      <c r="K1489" s="1591"/>
    </row>
    <row r="1490" spans="1:11" s="1541" customFormat="1">
      <c r="A1490" s="1518" t="str">
        <f>A1486</f>
        <v>H.</v>
      </c>
      <c r="B1490" s="1518" t="str">
        <f>B1486</f>
        <v>3.</v>
      </c>
      <c r="C1490" s="1518">
        <f>C1486+1</f>
        <v>64</v>
      </c>
      <c r="D1490" s="1554" t="s">
        <v>5281</v>
      </c>
      <c r="E1490" s="1545" t="s">
        <v>1160</v>
      </c>
      <c r="F1490" s="1594">
        <v>40</v>
      </c>
      <c r="G1490" s="1461"/>
      <c r="H1490" s="1557">
        <f>SUM(F1490*G1490)</f>
        <v>0</v>
      </c>
      <c r="J1490" s="1548"/>
      <c r="K1490" s="1591"/>
    </row>
    <row r="1491" spans="1:11" s="1541" customFormat="1">
      <c r="A1491" s="1518"/>
      <c r="B1491" s="1518"/>
      <c r="C1491" s="1522"/>
      <c r="D1491" s="1554"/>
      <c r="E1491" s="1545"/>
      <c r="F1491" s="1594"/>
      <c r="G1491" s="1459"/>
      <c r="H1491" s="1557"/>
      <c r="J1491" s="1548"/>
      <c r="K1491" s="1591"/>
    </row>
    <row r="1492" spans="1:11" s="1541" customFormat="1">
      <c r="A1492" s="1518" t="str">
        <f>A1488</f>
        <v>H.</v>
      </c>
      <c r="B1492" s="1518" t="str">
        <f>B1488</f>
        <v>3.</v>
      </c>
      <c r="C1492" s="1518">
        <f>C1488+1</f>
        <v>65</v>
      </c>
      <c r="D1492" s="1554" t="s">
        <v>5282</v>
      </c>
      <c r="E1492" s="1545" t="s">
        <v>1160</v>
      </c>
      <c r="F1492" s="1594">
        <v>1800</v>
      </c>
      <c r="G1492" s="1461"/>
      <c r="H1492" s="1557">
        <f>SUM(F1492*G1492)</f>
        <v>0</v>
      </c>
      <c r="J1492" s="1548"/>
      <c r="K1492" s="1591"/>
    </row>
    <row r="1493" spans="1:11" s="1541" customFormat="1">
      <c r="A1493" s="1518"/>
      <c r="B1493" s="1518"/>
      <c r="C1493" s="1522"/>
      <c r="D1493" s="1554"/>
      <c r="E1493" s="1545"/>
      <c r="F1493" s="1594"/>
      <c r="G1493" s="1459"/>
      <c r="H1493" s="1557"/>
      <c r="J1493" s="1548"/>
      <c r="K1493" s="1591"/>
    </row>
    <row r="1494" spans="1:11" s="1541" customFormat="1" ht="25.5">
      <c r="A1494" s="1518" t="str">
        <f>A1492</f>
        <v>H.</v>
      </c>
      <c r="B1494" s="1518" t="str">
        <f t="shared" si="31"/>
        <v>3.</v>
      </c>
      <c r="C1494" s="1518">
        <f>C1492+1</f>
        <v>66</v>
      </c>
      <c r="D1494" s="1554" t="s">
        <v>5283</v>
      </c>
      <c r="E1494" s="1545" t="s">
        <v>1160</v>
      </c>
      <c r="F1494" s="1594">
        <v>6850</v>
      </c>
      <c r="G1494" s="1461"/>
      <c r="H1494" s="1557">
        <f>SUM(F1494*G1494)</f>
        <v>0</v>
      </c>
      <c r="J1494" s="1548"/>
      <c r="K1494" s="1591"/>
    </row>
    <row r="1495" spans="1:11" s="1541" customFormat="1">
      <c r="A1495" s="1518"/>
      <c r="B1495" s="1518"/>
      <c r="C1495" s="1522"/>
      <c r="D1495" s="1554"/>
      <c r="E1495" s="1545"/>
      <c r="F1495" s="1594"/>
      <c r="G1495" s="1459"/>
      <c r="H1495" s="1557"/>
      <c r="J1495" s="1548"/>
      <c r="K1495" s="1591"/>
    </row>
    <row r="1496" spans="1:11" s="1541" customFormat="1" ht="38.25">
      <c r="A1496" s="1518" t="str">
        <f>A1494</f>
        <v>H.</v>
      </c>
      <c r="B1496" s="1518" t="str">
        <f t="shared" si="31"/>
        <v>3.</v>
      </c>
      <c r="C1496" s="1518">
        <f>C1494+1</f>
        <v>67</v>
      </c>
      <c r="D1496" s="1554" t="s">
        <v>5284</v>
      </c>
      <c r="E1496" s="1545" t="s">
        <v>1160</v>
      </c>
      <c r="F1496" s="1594">
        <v>1280</v>
      </c>
      <c r="G1496" s="1461"/>
      <c r="H1496" s="1557">
        <f>SUM(F1496*G1496)</f>
        <v>0</v>
      </c>
      <c r="J1496" s="1548"/>
      <c r="K1496" s="1591"/>
    </row>
    <row r="1497" spans="1:11" s="1541" customFormat="1">
      <c r="A1497" s="1518"/>
      <c r="B1497" s="1518"/>
      <c r="C1497" s="1522"/>
      <c r="D1497" s="1554"/>
      <c r="E1497" s="1545"/>
      <c r="F1497" s="1594"/>
      <c r="G1497" s="1459"/>
      <c r="H1497" s="1557"/>
      <c r="J1497" s="1548"/>
      <c r="K1497" s="1591"/>
    </row>
    <row r="1498" spans="1:11" s="1541" customFormat="1" ht="25.5">
      <c r="A1498" s="1518"/>
      <c r="B1498" s="1518"/>
      <c r="C1498" s="1522" t="s">
        <v>4635</v>
      </c>
      <c r="D1498" s="1516" t="s">
        <v>5285</v>
      </c>
      <c r="E1498" s="1545"/>
      <c r="F1498" s="1594"/>
      <c r="G1498" s="1459"/>
      <c r="H1498" s="1557"/>
      <c r="J1498" s="1548"/>
      <c r="K1498" s="1591"/>
    </row>
    <row r="1499" spans="1:11" s="1541" customFormat="1">
      <c r="A1499" s="1518" t="str">
        <f>A1496</f>
        <v>H.</v>
      </c>
      <c r="B1499" s="1518" t="str">
        <f t="shared" ref="B1499" si="32">B1496</f>
        <v>3.</v>
      </c>
      <c r="C1499" s="1518">
        <f>C1496+1</f>
        <v>68</v>
      </c>
      <c r="D1499" s="1554" t="s">
        <v>5286</v>
      </c>
      <c r="E1499" s="1545" t="s">
        <v>1160</v>
      </c>
      <c r="F1499" s="1594">
        <v>210</v>
      </c>
      <c r="G1499" s="1461"/>
      <c r="H1499" s="1557">
        <f>SUM(F1499*G1499)</f>
        <v>0</v>
      </c>
      <c r="J1499" s="1548"/>
      <c r="K1499" s="1591"/>
    </row>
    <row r="1500" spans="1:11" s="1541" customFormat="1">
      <c r="A1500" s="1518"/>
      <c r="B1500" s="1518"/>
      <c r="C1500" s="1522"/>
      <c r="D1500" s="1554"/>
      <c r="E1500" s="1545"/>
      <c r="F1500" s="1594"/>
      <c r="G1500" s="1459"/>
      <c r="H1500" s="1557"/>
      <c r="J1500" s="1548"/>
      <c r="K1500" s="1591"/>
    </row>
    <row r="1501" spans="1:11" s="1541" customFormat="1">
      <c r="A1501" s="1518" t="str">
        <f>A1499</f>
        <v>H.</v>
      </c>
      <c r="B1501" s="1518" t="str">
        <f t="shared" ref="B1501:B1563" si="33">B1499</f>
        <v>3.</v>
      </c>
      <c r="C1501" s="1518">
        <f>C1499+1</f>
        <v>69</v>
      </c>
      <c r="D1501" s="1554" t="s">
        <v>5287</v>
      </c>
      <c r="E1501" s="1545" t="s">
        <v>1160</v>
      </c>
      <c r="F1501" s="1594">
        <v>150</v>
      </c>
      <c r="G1501" s="1461"/>
      <c r="H1501" s="1557">
        <f>SUM(F1501*G1501)</f>
        <v>0</v>
      </c>
      <c r="J1501" s="1548"/>
      <c r="K1501" s="1591"/>
    </row>
    <row r="1502" spans="1:11" s="1541" customFormat="1">
      <c r="A1502" s="1518"/>
      <c r="B1502" s="1518"/>
      <c r="C1502" s="1522"/>
      <c r="D1502" s="1554"/>
      <c r="E1502" s="1594"/>
      <c r="F1502" s="1594"/>
      <c r="G1502" s="1459"/>
      <c r="H1502" s="1557"/>
      <c r="J1502" s="1548"/>
      <c r="K1502" s="1591"/>
    </row>
    <row r="1503" spans="1:11" s="1541" customFormat="1">
      <c r="A1503" s="1518" t="str">
        <f>A1501</f>
        <v>H.</v>
      </c>
      <c r="B1503" s="1518" t="str">
        <f t="shared" si="33"/>
        <v>3.</v>
      </c>
      <c r="C1503" s="1518">
        <f>C1501+1</f>
        <v>70</v>
      </c>
      <c r="D1503" s="1554" t="s">
        <v>5288</v>
      </c>
      <c r="E1503" s="1545" t="s">
        <v>1160</v>
      </c>
      <c r="F1503" s="1594">
        <v>60</v>
      </c>
      <c r="G1503" s="1461"/>
      <c r="H1503" s="1557">
        <f>SUM(F1503*G1503)</f>
        <v>0</v>
      </c>
      <c r="J1503" s="1548"/>
      <c r="K1503" s="1591"/>
    </row>
    <row r="1504" spans="1:11" s="1541" customFormat="1">
      <c r="A1504" s="1518"/>
      <c r="B1504" s="1518"/>
      <c r="C1504" s="1522"/>
      <c r="D1504" s="1554"/>
      <c r="E1504" s="1594"/>
      <c r="F1504" s="1594"/>
      <c r="G1504" s="1459"/>
      <c r="H1504" s="1557"/>
      <c r="J1504" s="1548"/>
      <c r="K1504" s="1591"/>
    </row>
    <row r="1505" spans="1:11" s="1541" customFormat="1">
      <c r="A1505" s="1518" t="str">
        <f>A1503</f>
        <v>H.</v>
      </c>
      <c r="B1505" s="1518" t="str">
        <f t="shared" si="33"/>
        <v>3.</v>
      </c>
      <c r="C1505" s="1518">
        <f>C1503+1</f>
        <v>71</v>
      </c>
      <c r="D1505" s="1554" t="s">
        <v>5289</v>
      </c>
      <c r="E1505" s="1545" t="s">
        <v>1160</v>
      </c>
      <c r="F1505" s="1594">
        <v>60</v>
      </c>
      <c r="G1505" s="1461"/>
      <c r="H1505" s="1557">
        <f>SUM(F1505*G1505)</f>
        <v>0</v>
      </c>
      <c r="J1505" s="1548"/>
      <c r="K1505" s="1591"/>
    </row>
    <row r="1506" spans="1:11" s="1541" customFormat="1">
      <c r="A1506" s="1518"/>
      <c r="B1506" s="1518"/>
      <c r="C1506" s="1522"/>
      <c r="D1506" s="1554"/>
      <c r="E1506" s="1594"/>
      <c r="F1506" s="1594"/>
      <c r="G1506" s="1459"/>
      <c r="H1506" s="1557"/>
      <c r="J1506" s="1548"/>
      <c r="K1506" s="1591"/>
    </row>
    <row r="1507" spans="1:11" s="1541" customFormat="1">
      <c r="A1507" s="1518" t="str">
        <f>A1505</f>
        <v>H.</v>
      </c>
      <c r="B1507" s="1518" t="str">
        <f t="shared" si="33"/>
        <v>3.</v>
      </c>
      <c r="C1507" s="1518">
        <f>C1505+1</f>
        <v>72</v>
      </c>
      <c r="D1507" s="1554" t="s">
        <v>5290</v>
      </c>
      <c r="E1507" s="1545" t="s">
        <v>1160</v>
      </c>
      <c r="F1507" s="1594">
        <v>120</v>
      </c>
      <c r="G1507" s="1461"/>
      <c r="H1507" s="1557">
        <f>SUM(F1507*G1507)</f>
        <v>0</v>
      </c>
      <c r="J1507" s="1548"/>
      <c r="K1507" s="1591"/>
    </row>
    <row r="1508" spans="1:11" s="1541" customFormat="1">
      <c r="A1508" s="1518"/>
      <c r="B1508" s="1518"/>
      <c r="C1508" s="1522"/>
      <c r="D1508" s="1554"/>
      <c r="E1508" s="1594"/>
      <c r="F1508" s="1594"/>
      <c r="G1508" s="1459"/>
      <c r="H1508" s="1557"/>
      <c r="J1508" s="1548"/>
      <c r="K1508" s="1591"/>
    </row>
    <row r="1509" spans="1:11" s="1541" customFormat="1">
      <c r="A1509" s="1518" t="str">
        <f>A1507</f>
        <v>H.</v>
      </c>
      <c r="B1509" s="1518" t="str">
        <f t="shared" si="33"/>
        <v>3.</v>
      </c>
      <c r="C1509" s="1518">
        <f>C1507+1</f>
        <v>73</v>
      </c>
      <c r="D1509" s="1554" t="s">
        <v>5291</v>
      </c>
      <c r="E1509" s="1545" t="s">
        <v>1160</v>
      </c>
      <c r="F1509" s="1594">
        <v>60</v>
      </c>
      <c r="G1509" s="1461"/>
      <c r="H1509" s="1557">
        <f>SUM(F1509*G1509)</f>
        <v>0</v>
      </c>
      <c r="J1509" s="1548"/>
      <c r="K1509" s="1591"/>
    </row>
    <row r="1510" spans="1:11" s="1541" customFormat="1">
      <c r="A1510" s="1518"/>
      <c r="B1510" s="1518"/>
      <c r="C1510" s="1522"/>
      <c r="D1510" s="1554"/>
      <c r="E1510" s="1594"/>
      <c r="F1510" s="1594"/>
      <c r="G1510" s="1459"/>
      <c r="H1510" s="1557"/>
      <c r="J1510" s="1548"/>
      <c r="K1510" s="1591"/>
    </row>
    <row r="1511" spans="1:11" s="1541" customFormat="1">
      <c r="A1511" s="1518" t="str">
        <f>A1509</f>
        <v>H.</v>
      </c>
      <c r="B1511" s="1518" t="str">
        <f t="shared" si="33"/>
        <v>3.</v>
      </c>
      <c r="C1511" s="1518">
        <f>C1509+1</f>
        <v>74</v>
      </c>
      <c r="D1511" s="1554" t="s">
        <v>5292</v>
      </c>
      <c r="E1511" s="1545" t="s">
        <v>1160</v>
      </c>
      <c r="F1511" s="1594">
        <v>150</v>
      </c>
      <c r="G1511" s="1461"/>
      <c r="H1511" s="1557">
        <f>SUM(F1511*G1511)</f>
        <v>0</v>
      </c>
      <c r="J1511" s="1548"/>
      <c r="K1511" s="1591"/>
    </row>
    <row r="1512" spans="1:11" s="1541" customFormat="1">
      <c r="A1512" s="1518"/>
      <c r="B1512" s="1518"/>
      <c r="C1512" s="1522"/>
      <c r="D1512" s="1554"/>
      <c r="E1512" s="1594"/>
      <c r="F1512" s="1594"/>
      <c r="G1512" s="1459"/>
      <c r="H1512" s="1557"/>
      <c r="J1512" s="1548"/>
      <c r="K1512" s="1591"/>
    </row>
    <row r="1513" spans="1:11" s="1541" customFormat="1">
      <c r="A1513" s="1518" t="str">
        <f>A1511</f>
        <v>H.</v>
      </c>
      <c r="B1513" s="1518" t="str">
        <f t="shared" si="33"/>
        <v>3.</v>
      </c>
      <c r="C1513" s="1518">
        <f>C1511+1</f>
        <v>75</v>
      </c>
      <c r="D1513" s="1554" t="s">
        <v>5293</v>
      </c>
      <c r="E1513" s="1545" t="s">
        <v>1160</v>
      </c>
      <c r="F1513" s="1594">
        <v>150</v>
      </c>
      <c r="G1513" s="1461"/>
      <c r="H1513" s="1557">
        <f>SUM(F1513*G1513)</f>
        <v>0</v>
      </c>
      <c r="J1513" s="1548"/>
      <c r="K1513" s="1591"/>
    </row>
    <row r="1514" spans="1:11" s="1541" customFormat="1">
      <c r="A1514" s="1518"/>
      <c r="B1514" s="1518"/>
      <c r="C1514" s="1522"/>
      <c r="D1514" s="1554"/>
      <c r="E1514" s="1594"/>
      <c r="F1514" s="1594"/>
      <c r="G1514" s="1459"/>
      <c r="H1514" s="1557"/>
      <c r="J1514" s="1548"/>
      <c r="K1514" s="1591"/>
    </row>
    <row r="1515" spans="1:11" s="1541" customFormat="1">
      <c r="A1515" s="1518" t="str">
        <f>A1513</f>
        <v>H.</v>
      </c>
      <c r="B1515" s="1518" t="str">
        <f t="shared" si="33"/>
        <v>3.</v>
      </c>
      <c r="C1515" s="1518">
        <f>C1513+1</f>
        <v>76</v>
      </c>
      <c r="D1515" s="1554" t="s">
        <v>5294</v>
      </c>
      <c r="E1515" s="1545" t="s">
        <v>1160</v>
      </c>
      <c r="F1515" s="1594">
        <v>420</v>
      </c>
      <c r="G1515" s="1461"/>
      <c r="H1515" s="1557">
        <f>SUM(F1515*G1515)</f>
        <v>0</v>
      </c>
      <c r="J1515" s="1548"/>
      <c r="K1515" s="1591"/>
    </row>
    <row r="1516" spans="1:11" s="1541" customFormat="1">
      <c r="A1516" s="1518"/>
      <c r="B1516" s="1518"/>
      <c r="C1516" s="1522"/>
      <c r="D1516" s="1554"/>
      <c r="E1516" s="1594"/>
      <c r="F1516" s="1594"/>
      <c r="G1516" s="1459"/>
      <c r="H1516" s="1557"/>
      <c r="J1516" s="1548"/>
      <c r="K1516" s="1591"/>
    </row>
    <row r="1517" spans="1:11" s="1541" customFormat="1">
      <c r="A1517" s="1518" t="str">
        <f>A1515</f>
        <v>H.</v>
      </c>
      <c r="B1517" s="1518" t="str">
        <f t="shared" si="33"/>
        <v>3.</v>
      </c>
      <c r="C1517" s="1518">
        <f>C1515+1</f>
        <v>77</v>
      </c>
      <c r="D1517" s="1554" t="s">
        <v>5295</v>
      </c>
      <c r="E1517" s="1545" t="s">
        <v>1160</v>
      </c>
      <c r="F1517" s="1594">
        <v>440</v>
      </c>
      <c r="G1517" s="1461"/>
      <c r="H1517" s="1557">
        <f>SUM(F1517*G1517)</f>
        <v>0</v>
      </c>
      <c r="J1517" s="1548"/>
      <c r="K1517" s="1591"/>
    </row>
    <row r="1518" spans="1:11" s="1541" customFormat="1">
      <c r="A1518" s="1518"/>
      <c r="B1518" s="1518"/>
      <c r="C1518" s="1522"/>
      <c r="D1518" s="1554"/>
      <c r="E1518" s="1594"/>
      <c r="F1518" s="1594"/>
      <c r="G1518" s="1459"/>
      <c r="H1518" s="1557"/>
      <c r="J1518" s="1548"/>
      <c r="K1518" s="1591"/>
    </row>
    <row r="1519" spans="1:11" s="1541" customFormat="1">
      <c r="A1519" s="1518" t="str">
        <f>A1517</f>
        <v>H.</v>
      </c>
      <c r="B1519" s="1518" t="str">
        <f t="shared" si="33"/>
        <v>3.</v>
      </c>
      <c r="C1519" s="1518">
        <f>C1517+1</f>
        <v>78</v>
      </c>
      <c r="D1519" s="1554" t="s">
        <v>5296</v>
      </c>
      <c r="E1519" s="1545" t="s">
        <v>1160</v>
      </c>
      <c r="F1519" s="1594">
        <v>120</v>
      </c>
      <c r="G1519" s="1461"/>
      <c r="H1519" s="1557">
        <f>SUM(F1519*G1519)</f>
        <v>0</v>
      </c>
      <c r="J1519" s="1548"/>
      <c r="K1519" s="1591"/>
    </row>
    <row r="1520" spans="1:11" s="1541" customFormat="1">
      <c r="A1520" s="1518"/>
      <c r="B1520" s="1518"/>
      <c r="C1520" s="1522"/>
      <c r="D1520" s="1554"/>
      <c r="E1520" s="1594"/>
      <c r="F1520" s="1594"/>
      <c r="G1520" s="1459"/>
      <c r="H1520" s="1557"/>
      <c r="J1520" s="1548"/>
      <c r="K1520" s="1591"/>
    </row>
    <row r="1521" spans="1:11" s="1541" customFormat="1">
      <c r="A1521" s="1518" t="str">
        <f>A1519</f>
        <v>H.</v>
      </c>
      <c r="B1521" s="1518" t="str">
        <f t="shared" si="33"/>
        <v>3.</v>
      </c>
      <c r="C1521" s="1518">
        <f>C1519+1</f>
        <v>79</v>
      </c>
      <c r="D1521" s="1554" t="s">
        <v>5297</v>
      </c>
      <c r="E1521" s="1545" t="s">
        <v>1160</v>
      </c>
      <c r="F1521" s="1594">
        <v>160</v>
      </c>
      <c r="G1521" s="1461"/>
      <c r="H1521" s="1557">
        <f>SUM(F1521*G1521)</f>
        <v>0</v>
      </c>
      <c r="J1521" s="1548"/>
      <c r="K1521" s="1591"/>
    </row>
    <row r="1522" spans="1:11" s="1541" customFormat="1">
      <c r="A1522" s="1518"/>
      <c r="B1522" s="1518"/>
      <c r="C1522" s="1522"/>
      <c r="D1522" s="1554"/>
      <c r="E1522" s="1594"/>
      <c r="F1522" s="1594"/>
      <c r="G1522" s="1459"/>
      <c r="H1522" s="1557"/>
      <c r="J1522" s="1548"/>
      <c r="K1522" s="1591"/>
    </row>
    <row r="1523" spans="1:11" s="1541" customFormat="1">
      <c r="A1523" s="1518" t="str">
        <f>A1521</f>
        <v>H.</v>
      </c>
      <c r="B1523" s="1518" t="str">
        <f t="shared" si="33"/>
        <v>3.</v>
      </c>
      <c r="C1523" s="1518">
        <f>C1521+1</f>
        <v>80</v>
      </c>
      <c r="D1523" s="1554" t="s">
        <v>5298</v>
      </c>
      <c r="E1523" s="1545" t="s">
        <v>1160</v>
      </c>
      <c r="F1523" s="1594">
        <v>280</v>
      </c>
      <c r="G1523" s="1461"/>
      <c r="H1523" s="1557">
        <f>SUM(F1523*G1523)</f>
        <v>0</v>
      </c>
      <c r="J1523" s="1548"/>
      <c r="K1523" s="1591"/>
    </row>
    <row r="1524" spans="1:11" s="1541" customFormat="1">
      <c r="A1524" s="1518"/>
      <c r="B1524" s="1518"/>
      <c r="C1524" s="1522"/>
      <c r="D1524" s="1554"/>
      <c r="E1524" s="1594"/>
      <c r="F1524" s="1594"/>
      <c r="G1524" s="1459"/>
      <c r="H1524" s="1557"/>
      <c r="J1524" s="1548"/>
      <c r="K1524" s="1591"/>
    </row>
    <row r="1525" spans="1:11" s="1541" customFormat="1">
      <c r="A1525" s="1518" t="str">
        <f>A1523</f>
        <v>H.</v>
      </c>
      <c r="B1525" s="1518" t="str">
        <f t="shared" si="33"/>
        <v>3.</v>
      </c>
      <c r="C1525" s="1518">
        <f>C1523+1</f>
        <v>81</v>
      </c>
      <c r="D1525" s="1554" t="s">
        <v>5299</v>
      </c>
      <c r="E1525" s="1545" t="s">
        <v>1160</v>
      </c>
      <c r="F1525" s="1594">
        <v>190</v>
      </c>
      <c r="G1525" s="1461"/>
      <c r="H1525" s="1557">
        <f>SUM(F1525*G1525)</f>
        <v>0</v>
      </c>
      <c r="J1525" s="1548"/>
      <c r="K1525" s="1591"/>
    </row>
    <row r="1526" spans="1:11" s="1541" customFormat="1">
      <c r="A1526" s="1518"/>
      <c r="B1526" s="1518"/>
      <c r="C1526" s="1522"/>
      <c r="D1526" s="1554"/>
      <c r="E1526" s="1594"/>
      <c r="F1526" s="1594"/>
      <c r="G1526" s="1459"/>
      <c r="H1526" s="1557"/>
      <c r="J1526" s="1548"/>
      <c r="K1526" s="1591"/>
    </row>
    <row r="1527" spans="1:11" s="1541" customFormat="1">
      <c r="A1527" s="1518" t="str">
        <f>A1525</f>
        <v>H.</v>
      </c>
      <c r="B1527" s="1518" t="str">
        <f t="shared" si="33"/>
        <v>3.</v>
      </c>
      <c r="C1527" s="1518">
        <f>C1525+1</f>
        <v>82</v>
      </c>
      <c r="D1527" s="1554" t="s">
        <v>5300</v>
      </c>
      <c r="E1527" s="1545" t="s">
        <v>1160</v>
      </c>
      <c r="F1527" s="1594">
        <v>9300</v>
      </c>
      <c r="G1527" s="1461"/>
      <c r="H1527" s="1557">
        <f>SUM(F1527*G1527)</f>
        <v>0</v>
      </c>
      <c r="J1527" s="1548"/>
      <c r="K1527" s="1591"/>
    </row>
    <row r="1528" spans="1:11" s="1541" customFormat="1">
      <c r="A1528" s="1518"/>
      <c r="B1528" s="1518"/>
      <c r="C1528" s="1522"/>
      <c r="D1528" s="1554"/>
      <c r="E1528" s="1545"/>
      <c r="F1528" s="213"/>
      <c r="G1528" s="1459"/>
      <c r="H1528" s="1557"/>
      <c r="J1528" s="1548"/>
      <c r="K1528" s="1591"/>
    </row>
    <row r="1529" spans="1:11" s="1541" customFormat="1">
      <c r="A1529" s="1518" t="str">
        <f>A1527</f>
        <v>H.</v>
      </c>
      <c r="B1529" s="1518" t="str">
        <f t="shared" si="33"/>
        <v>3.</v>
      </c>
      <c r="C1529" s="1518">
        <f>C1527+1</f>
        <v>83</v>
      </c>
      <c r="D1529" s="1554" t="s">
        <v>5301</v>
      </c>
      <c r="E1529" s="1545" t="s">
        <v>1160</v>
      </c>
      <c r="F1529" s="1594">
        <v>11900</v>
      </c>
      <c r="G1529" s="1461"/>
      <c r="H1529" s="1557">
        <f>SUM(F1529*G1529)</f>
        <v>0</v>
      </c>
      <c r="J1529" s="1548"/>
      <c r="K1529" s="1591"/>
    </row>
    <row r="1530" spans="1:11" s="1541" customFormat="1">
      <c r="A1530" s="1518"/>
      <c r="B1530" s="1518"/>
      <c r="C1530" s="1522"/>
      <c r="D1530" s="1554"/>
      <c r="E1530" s="1594"/>
      <c r="F1530" s="1594"/>
      <c r="G1530" s="1459"/>
      <c r="H1530" s="1557"/>
      <c r="J1530" s="1548"/>
      <c r="K1530" s="1591"/>
    </row>
    <row r="1531" spans="1:11" s="1541" customFormat="1">
      <c r="A1531" s="1518" t="str">
        <f>A1529</f>
        <v>H.</v>
      </c>
      <c r="B1531" s="1518" t="str">
        <f t="shared" si="33"/>
        <v>3.</v>
      </c>
      <c r="C1531" s="1518">
        <f>C1529+1</f>
        <v>84</v>
      </c>
      <c r="D1531" s="1554" t="s">
        <v>5302</v>
      </c>
      <c r="E1531" s="1545" t="s">
        <v>1160</v>
      </c>
      <c r="F1531" s="1594">
        <v>180</v>
      </c>
      <c r="G1531" s="1461"/>
      <c r="H1531" s="1557">
        <f>SUM(F1531*G1531)</f>
        <v>0</v>
      </c>
      <c r="J1531" s="1548"/>
      <c r="K1531" s="1591"/>
    </row>
    <row r="1532" spans="1:11" s="1541" customFormat="1">
      <c r="A1532" s="1518"/>
      <c r="B1532" s="1518"/>
      <c r="C1532" s="1522"/>
      <c r="D1532" s="1554"/>
      <c r="E1532" s="1594"/>
      <c r="F1532" s="1594"/>
      <c r="G1532" s="1459"/>
      <c r="H1532" s="1557"/>
      <c r="J1532" s="1548"/>
      <c r="K1532" s="1591"/>
    </row>
    <row r="1533" spans="1:11" s="1541" customFormat="1">
      <c r="A1533" s="1518" t="str">
        <f>A1531</f>
        <v>H.</v>
      </c>
      <c r="B1533" s="1518" t="str">
        <f t="shared" si="33"/>
        <v>3.</v>
      </c>
      <c r="C1533" s="1518">
        <f>C1531+1</f>
        <v>85</v>
      </c>
      <c r="D1533" s="1554" t="s">
        <v>5303</v>
      </c>
      <c r="E1533" s="1545" t="s">
        <v>1160</v>
      </c>
      <c r="F1533" s="1594">
        <v>2090</v>
      </c>
      <c r="G1533" s="1461"/>
      <c r="H1533" s="1557">
        <f>SUM(F1533*G1533)</f>
        <v>0</v>
      </c>
      <c r="J1533" s="1548"/>
      <c r="K1533" s="1591"/>
    </row>
    <row r="1534" spans="1:11" s="1541" customFormat="1">
      <c r="A1534" s="1518"/>
      <c r="B1534" s="1518"/>
      <c r="C1534" s="1522"/>
      <c r="D1534" s="1554"/>
      <c r="E1534" s="1545"/>
      <c r="F1534" s="1594"/>
      <c r="G1534" s="1459"/>
      <c r="H1534" s="1557"/>
      <c r="J1534" s="1548"/>
      <c r="K1534" s="1591"/>
    </row>
    <row r="1535" spans="1:11" s="1541" customFormat="1">
      <c r="A1535" s="1518" t="str">
        <f>A1533</f>
        <v>H.</v>
      </c>
      <c r="B1535" s="1518" t="str">
        <f t="shared" si="33"/>
        <v>3.</v>
      </c>
      <c r="C1535" s="1518">
        <f>C1533+1</f>
        <v>86</v>
      </c>
      <c r="D1535" s="1554" t="s">
        <v>5304</v>
      </c>
      <c r="E1535" s="1545" t="s">
        <v>1160</v>
      </c>
      <c r="F1535" s="1594">
        <v>860</v>
      </c>
      <c r="G1535" s="1461"/>
      <c r="H1535" s="1557">
        <f>SUM(F1535*G1535)</f>
        <v>0</v>
      </c>
      <c r="J1535" s="1548"/>
      <c r="K1535" s="1591"/>
    </row>
    <row r="1536" spans="1:11" s="1541" customFormat="1">
      <c r="A1536" s="1518"/>
      <c r="B1536" s="1518"/>
      <c r="C1536" s="1522"/>
      <c r="D1536" s="1554"/>
      <c r="E1536" s="1545"/>
      <c r="F1536" s="1594"/>
      <c r="G1536" s="1459"/>
      <c r="H1536" s="1557"/>
      <c r="J1536" s="1548"/>
      <c r="K1536" s="1591"/>
    </row>
    <row r="1537" spans="1:11" s="1541" customFormat="1">
      <c r="A1537" s="1518" t="str">
        <f>A1535</f>
        <v>H.</v>
      </c>
      <c r="B1537" s="1518" t="str">
        <f t="shared" si="33"/>
        <v>3.</v>
      </c>
      <c r="C1537" s="1518">
        <f>C1535+1</f>
        <v>87</v>
      </c>
      <c r="D1537" s="1554" t="s">
        <v>5305</v>
      </c>
      <c r="E1537" s="1545" t="s">
        <v>1160</v>
      </c>
      <c r="F1537" s="1594">
        <v>60</v>
      </c>
      <c r="G1537" s="1461"/>
      <c r="H1537" s="1557">
        <f>SUM(F1537*G1537)</f>
        <v>0</v>
      </c>
      <c r="J1537" s="1548"/>
      <c r="K1537" s="1591"/>
    </row>
    <row r="1538" spans="1:11" s="1541" customFormat="1">
      <c r="A1538" s="1518"/>
      <c r="B1538" s="1518"/>
      <c r="C1538" s="1522"/>
      <c r="D1538" s="1554"/>
      <c r="E1538" s="1545"/>
      <c r="F1538" s="1594"/>
      <c r="G1538" s="1459"/>
      <c r="H1538" s="1557"/>
      <c r="J1538" s="1548"/>
      <c r="K1538" s="1591"/>
    </row>
    <row r="1539" spans="1:11" s="1541" customFormat="1">
      <c r="A1539" s="1518" t="str">
        <f>A1537</f>
        <v>H.</v>
      </c>
      <c r="B1539" s="1518" t="str">
        <f t="shared" si="33"/>
        <v>3.</v>
      </c>
      <c r="C1539" s="1518">
        <f>C1537+1</f>
        <v>88</v>
      </c>
      <c r="D1539" s="1554" t="s">
        <v>5306</v>
      </c>
      <c r="E1539" s="1545" t="s">
        <v>1160</v>
      </c>
      <c r="F1539" s="1594">
        <v>90</v>
      </c>
      <c r="G1539" s="1461"/>
      <c r="H1539" s="1557">
        <f>SUM(F1539*G1539)</f>
        <v>0</v>
      </c>
      <c r="J1539" s="1548"/>
      <c r="K1539" s="1591"/>
    </row>
    <row r="1540" spans="1:11" s="1541" customFormat="1">
      <c r="A1540" s="1518"/>
      <c r="B1540" s="1518"/>
      <c r="C1540" s="1522"/>
      <c r="D1540" s="1554"/>
      <c r="E1540" s="1545"/>
      <c r="F1540" s="1594"/>
      <c r="G1540" s="1459"/>
      <c r="H1540" s="1557"/>
      <c r="J1540" s="1548"/>
      <c r="K1540" s="1591"/>
    </row>
    <row r="1541" spans="1:11" s="1541" customFormat="1">
      <c r="A1541" s="1518" t="str">
        <f>A1539</f>
        <v>H.</v>
      </c>
      <c r="B1541" s="1518" t="str">
        <f t="shared" si="33"/>
        <v>3.</v>
      </c>
      <c r="C1541" s="1518">
        <f>C1539+1</f>
        <v>89</v>
      </c>
      <c r="D1541" s="1554" t="s">
        <v>5307</v>
      </c>
      <c r="E1541" s="1545" t="s">
        <v>1160</v>
      </c>
      <c r="F1541" s="1594">
        <v>45</v>
      </c>
      <c r="G1541" s="1461"/>
      <c r="H1541" s="1557">
        <f>SUM(F1541*G1541)</f>
        <v>0</v>
      </c>
      <c r="J1541" s="1548"/>
      <c r="K1541" s="1591"/>
    </row>
    <row r="1542" spans="1:11" s="1541" customFormat="1">
      <c r="A1542" s="1518"/>
      <c r="B1542" s="1518"/>
      <c r="C1542" s="1522"/>
      <c r="D1542" s="1554"/>
      <c r="E1542" s="1545"/>
      <c r="F1542" s="213"/>
      <c r="G1542" s="1459"/>
      <c r="H1542" s="1557"/>
      <c r="J1542" s="1548"/>
      <c r="K1542" s="1591"/>
    </row>
    <row r="1543" spans="1:11" s="1541" customFormat="1">
      <c r="A1543" s="1518" t="str">
        <f>A1541</f>
        <v>H.</v>
      </c>
      <c r="B1543" s="1518" t="str">
        <f t="shared" si="33"/>
        <v>3.</v>
      </c>
      <c r="C1543" s="1518">
        <f>C1541+1</f>
        <v>90</v>
      </c>
      <c r="D1543" s="1554" t="s">
        <v>5308</v>
      </c>
      <c r="E1543" s="1545" t="s">
        <v>1160</v>
      </c>
      <c r="F1543" s="1594">
        <v>1250</v>
      </c>
      <c r="G1543" s="1461"/>
      <c r="H1543" s="1557">
        <f>SUM(F1543*G1543)</f>
        <v>0</v>
      </c>
      <c r="J1543" s="1548"/>
      <c r="K1543" s="1591"/>
    </row>
    <row r="1544" spans="1:11" s="1541" customFormat="1">
      <c r="A1544" s="1518"/>
      <c r="B1544" s="1518"/>
      <c r="C1544" s="1522"/>
      <c r="D1544" s="1554"/>
      <c r="E1544" s="1545"/>
      <c r="F1544" s="213"/>
      <c r="G1544" s="1459"/>
      <c r="H1544" s="1557"/>
      <c r="J1544" s="1548"/>
      <c r="K1544" s="1591"/>
    </row>
    <row r="1545" spans="1:11" s="1541" customFormat="1">
      <c r="A1545" s="1518" t="str">
        <f>A1543</f>
        <v>H.</v>
      </c>
      <c r="B1545" s="1518" t="str">
        <f t="shared" si="33"/>
        <v>3.</v>
      </c>
      <c r="C1545" s="1518">
        <f>C1543+1</f>
        <v>91</v>
      </c>
      <c r="D1545" s="1554" t="s">
        <v>5309</v>
      </c>
      <c r="E1545" s="1545" t="s">
        <v>1160</v>
      </c>
      <c r="F1545" s="1594">
        <v>450</v>
      </c>
      <c r="G1545" s="1461"/>
      <c r="H1545" s="1557">
        <f>SUM(F1545*G1545)</f>
        <v>0</v>
      </c>
      <c r="J1545" s="1548"/>
      <c r="K1545" s="1591"/>
    </row>
    <row r="1546" spans="1:11" s="1541" customFormat="1">
      <c r="A1546" s="1518"/>
      <c r="B1546" s="1518"/>
      <c r="C1546" s="1522"/>
      <c r="D1546" s="1554"/>
      <c r="E1546" s="1594"/>
      <c r="F1546" s="1594"/>
      <c r="G1546" s="1459"/>
      <c r="H1546" s="1557"/>
      <c r="J1546" s="1548"/>
      <c r="K1546" s="1591"/>
    </row>
    <row r="1547" spans="1:11" s="1541" customFormat="1">
      <c r="A1547" s="1518" t="str">
        <f>A1545</f>
        <v>H.</v>
      </c>
      <c r="B1547" s="1518" t="str">
        <f t="shared" si="33"/>
        <v>3.</v>
      </c>
      <c r="C1547" s="1518">
        <f>C1545+1</f>
        <v>92</v>
      </c>
      <c r="D1547" s="1554" t="s">
        <v>5310</v>
      </c>
      <c r="E1547" s="1545" t="s">
        <v>1160</v>
      </c>
      <c r="F1547" s="1594">
        <v>900</v>
      </c>
      <c r="G1547" s="1461"/>
      <c r="H1547" s="1557">
        <f>SUM(F1547*G1547)</f>
        <v>0</v>
      </c>
      <c r="J1547" s="1548"/>
      <c r="K1547" s="1591"/>
    </row>
    <row r="1548" spans="1:11" s="1541" customFormat="1">
      <c r="A1548" s="1518"/>
      <c r="B1548" s="1518"/>
      <c r="C1548" s="1522"/>
      <c r="D1548" s="1554"/>
      <c r="E1548" s="1545"/>
      <c r="F1548" s="1594"/>
      <c r="G1548" s="1459"/>
      <c r="H1548" s="1557"/>
      <c r="J1548" s="1548"/>
      <c r="K1548" s="1591"/>
    </row>
    <row r="1549" spans="1:11" s="1541" customFormat="1" ht="25.5">
      <c r="A1549" s="1518" t="str">
        <f>A1547</f>
        <v>H.</v>
      </c>
      <c r="B1549" s="1518" t="str">
        <f t="shared" si="33"/>
        <v>3.</v>
      </c>
      <c r="C1549" s="1518">
        <f>C1547+1</f>
        <v>93</v>
      </c>
      <c r="D1549" s="1554" t="s">
        <v>5311</v>
      </c>
      <c r="E1549" s="1545" t="s">
        <v>1160</v>
      </c>
      <c r="F1549" s="1594">
        <v>630</v>
      </c>
      <c r="G1549" s="1461"/>
      <c r="H1549" s="1557">
        <f>SUM(F1549*G1549)</f>
        <v>0</v>
      </c>
      <c r="J1549" s="1548"/>
      <c r="K1549" s="1591"/>
    </row>
    <row r="1550" spans="1:11" s="1541" customFormat="1">
      <c r="A1550" s="1518"/>
      <c r="B1550" s="1518"/>
      <c r="C1550" s="1522"/>
      <c r="D1550" s="1554"/>
      <c r="E1550" s="1545"/>
      <c r="F1550" s="1594"/>
      <c r="G1550" s="1459"/>
      <c r="H1550" s="1557"/>
      <c r="J1550" s="1548"/>
      <c r="K1550" s="1591"/>
    </row>
    <row r="1551" spans="1:11" s="1541" customFormat="1" ht="25.5">
      <c r="A1551" s="1518" t="str">
        <f>A1549</f>
        <v>H.</v>
      </c>
      <c r="B1551" s="1518" t="str">
        <f t="shared" si="33"/>
        <v>3.</v>
      </c>
      <c r="C1551" s="1518">
        <f>C1549+1</f>
        <v>94</v>
      </c>
      <c r="D1551" s="1554" t="s">
        <v>5312</v>
      </c>
      <c r="E1551" s="1545" t="s">
        <v>1160</v>
      </c>
      <c r="F1551" s="1594">
        <v>560</v>
      </c>
      <c r="G1551" s="1461"/>
      <c r="H1551" s="1557">
        <f>SUM(F1551*G1551)</f>
        <v>0</v>
      </c>
      <c r="J1551" s="1548"/>
      <c r="K1551" s="1591"/>
    </row>
    <row r="1552" spans="1:11" s="1541" customFormat="1">
      <c r="A1552" s="1518"/>
      <c r="B1552" s="1518"/>
      <c r="C1552" s="1522"/>
      <c r="D1552" s="1554"/>
      <c r="E1552" s="1545"/>
      <c r="F1552" s="1594"/>
      <c r="G1552" s="1459"/>
      <c r="H1552" s="1557"/>
      <c r="J1552" s="1548"/>
      <c r="K1552" s="1591"/>
    </row>
    <row r="1553" spans="1:11" s="1541" customFormat="1">
      <c r="A1553" s="1518" t="str">
        <f>A1551</f>
        <v>H.</v>
      </c>
      <c r="B1553" s="1518" t="str">
        <f t="shared" si="33"/>
        <v>3.</v>
      </c>
      <c r="C1553" s="1518">
        <f>C1551+1</f>
        <v>95</v>
      </c>
      <c r="D1553" s="1554" t="s">
        <v>5313</v>
      </c>
      <c r="E1553" s="1545" t="s">
        <v>1160</v>
      </c>
      <c r="F1553" s="1594">
        <v>850</v>
      </c>
      <c r="G1553" s="1461"/>
      <c r="H1553" s="1557">
        <f>SUM(F1553*G1553)</f>
        <v>0</v>
      </c>
      <c r="J1553" s="1548"/>
      <c r="K1553" s="1591"/>
    </row>
    <row r="1554" spans="1:11" s="1541" customFormat="1">
      <c r="A1554" s="1518"/>
      <c r="B1554" s="1518"/>
      <c r="C1554" s="1522"/>
      <c r="D1554" s="1554"/>
      <c r="E1554" s="1545"/>
      <c r="F1554" s="1594"/>
      <c r="G1554" s="1459"/>
      <c r="H1554" s="1557"/>
      <c r="J1554" s="1548"/>
      <c r="K1554" s="1591"/>
    </row>
    <row r="1555" spans="1:11" s="1541" customFormat="1">
      <c r="A1555" s="1518" t="str">
        <f>A1553</f>
        <v>H.</v>
      </c>
      <c r="B1555" s="1518" t="str">
        <f t="shared" si="33"/>
        <v>3.</v>
      </c>
      <c r="C1555" s="1518">
        <f>C1553+1</f>
        <v>96</v>
      </c>
      <c r="D1555" s="1554" t="s">
        <v>5314</v>
      </c>
      <c r="E1555" s="1545" t="s">
        <v>1160</v>
      </c>
      <c r="F1555" s="1594">
        <v>3850</v>
      </c>
      <c r="G1555" s="1461"/>
      <c r="H1555" s="1557">
        <f>SUM(F1555*G1555)</f>
        <v>0</v>
      </c>
      <c r="J1555" s="1548"/>
      <c r="K1555" s="1591"/>
    </row>
    <row r="1556" spans="1:11" s="1541" customFormat="1">
      <c r="A1556" s="1518"/>
      <c r="B1556" s="1518"/>
      <c r="C1556" s="1522"/>
      <c r="D1556" s="1554"/>
      <c r="E1556" s="1545"/>
      <c r="F1556" s="1594"/>
      <c r="G1556" s="1459"/>
      <c r="H1556" s="1557"/>
      <c r="J1556" s="1548"/>
      <c r="K1556" s="1591"/>
    </row>
    <row r="1557" spans="1:11" s="1541" customFormat="1">
      <c r="A1557" s="1518" t="str">
        <f>A1555</f>
        <v>H.</v>
      </c>
      <c r="B1557" s="1518" t="str">
        <f t="shared" si="33"/>
        <v>3.</v>
      </c>
      <c r="C1557" s="1518">
        <f>C1555+1</f>
        <v>97</v>
      </c>
      <c r="D1557" s="1554" t="s">
        <v>5315</v>
      </c>
      <c r="E1557" s="1545" t="s">
        <v>1160</v>
      </c>
      <c r="F1557" s="1594">
        <v>75</v>
      </c>
      <c r="G1557" s="1461"/>
      <c r="H1557" s="1557">
        <f>SUM(F1557*G1557)</f>
        <v>0</v>
      </c>
      <c r="J1557" s="1548"/>
      <c r="K1557" s="1591"/>
    </row>
    <row r="1558" spans="1:11" s="1541" customFormat="1">
      <c r="A1558" s="1518"/>
      <c r="B1558" s="1518"/>
      <c r="C1558" s="1522"/>
      <c r="D1558" s="1554"/>
      <c r="E1558" s="1545"/>
      <c r="F1558" s="1594"/>
      <c r="G1558" s="1459"/>
      <c r="H1558" s="1557"/>
      <c r="J1558" s="1548"/>
      <c r="K1558" s="1591"/>
    </row>
    <row r="1559" spans="1:11" s="1541" customFormat="1" ht="25.5">
      <c r="A1559" s="1518" t="str">
        <f>A1557</f>
        <v>H.</v>
      </c>
      <c r="B1559" s="1518" t="str">
        <f t="shared" si="33"/>
        <v>3.</v>
      </c>
      <c r="C1559" s="1518">
        <f>C1557+1</f>
        <v>98</v>
      </c>
      <c r="D1559" s="1554" t="s">
        <v>5316</v>
      </c>
      <c r="E1559" s="1545" t="s">
        <v>2243</v>
      </c>
      <c r="F1559" s="1545">
        <v>4</v>
      </c>
      <c r="G1559" s="1461"/>
      <c r="H1559" s="1557">
        <f>SUM(F1559*G1559)</f>
        <v>0</v>
      </c>
      <c r="J1559" s="1548"/>
      <c r="K1559" s="1591"/>
    </row>
    <row r="1560" spans="1:11" s="1541" customFormat="1">
      <c r="A1560" s="1518"/>
      <c r="B1560" s="1518"/>
      <c r="C1560" s="1522"/>
      <c r="D1560" s="1554"/>
      <c r="E1560" s="1545"/>
      <c r="F1560" s="1594"/>
      <c r="G1560" s="1459"/>
      <c r="H1560" s="1557"/>
      <c r="J1560" s="1548"/>
      <c r="K1560" s="1591"/>
    </row>
    <row r="1561" spans="1:11" s="1541" customFormat="1">
      <c r="A1561" s="1518" t="str">
        <f>A1559</f>
        <v>H.</v>
      </c>
      <c r="B1561" s="1518" t="str">
        <f t="shared" si="33"/>
        <v>3.</v>
      </c>
      <c r="C1561" s="1518">
        <f>C1559+1</f>
        <v>99</v>
      </c>
      <c r="D1561" s="1554" t="s">
        <v>5317</v>
      </c>
      <c r="E1561" s="1545" t="s">
        <v>1160</v>
      </c>
      <c r="F1561" s="1594">
        <v>650</v>
      </c>
      <c r="G1561" s="1461"/>
      <c r="H1561" s="1557">
        <f>SUM(F1561*G1561)</f>
        <v>0</v>
      </c>
      <c r="J1561" s="1548"/>
      <c r="K1561" s="1591"/>
    </row>
    <row r="1562" spans="1:11" s="1541" customFormat="1">
      <c r="A1562" s="1518"/>
      <c r="B1562" s="1518"/>
      <c r="C1562" s="1522"/>
      <c r="D1562" s="1554"/>
      <c r="E1562" s="1545"/>
      <c r="F1562" s="1594"/>
      <c r="G1562" s="1459"/>
      <c r="H1562" s="1557"/>
      <c r="J1562" s="1548"/>
      <c r="K1562" s="1591"/>
    </row>
    <row r="1563" spans="1:11" s="1541" customFormat="1">
      <c r="A1563" s="1518" t="str">
        <f>A1561</f>
        <v>H.</v>
      </c>
      <c r="B1563" s="1518" t="str">
        <f t="shared" si="33"/>
        <v>3.</v>
      </c>
      <c r="C1563" s="1518">
        <f>C1561+1</f>
        <v>100</v>
      </c>
      <c r="D1563" s="1554" t="s">
        <v>5318</v>
      </c>
      <c r="E1563" s="1545" t="s">
        <v>1160</v>
      </c>
      <c r="F1563" s="1594">
        <v>220</v>
      </c>
      <c r="G1563" s="1461"/>
      <c r="H1563" s="1557">
        <f>SUM(F1563*G1563)</f>
        <v>0</v>
      </c>
      <c r="J1563" s="1548"/>
      <c r="K1563" s="1591"/>
    </row>
    <row r="1564" spans="1:11" s="1541" customFormat="1">
      <c r="A1564" s="1518"/>
      <c r="B1564" s="1518"/>
      <c r="C1564" s="1522"/>
      <c r="D1564" s="1554"/>
      <c r="E1564" s="1545"/>
      <c r="F1564" s="1594"/>
      <c r="G1564" s="1459"/>
      <c r="H1564" s="1557"/>
      <c r="J1564" s="1548"/>
      <c r="K1564" s="1591"/>
    </row>
    <row r="1565" spans="1:11" s="1541" customFormat="1">
      <c r="A1565" s="1518" t="str">
        <f>A1563</f>
        <v>H.</v>
      </c>
      <c r="B1565" s="1518" t="str">
        <f t="shared" ref="B1565:B1569" si="34">B1563</f>
        <v>3.</v>
      </c>
      <c r="C1565" s="1518">
        <f>C1563+1</f>
        <v>101</v>
      </c>
      <c r="D1565" s="1554" t="s">
        <v>5319</v>
      </c>
      <c r="E1565" s="1545" t="s">
        <v>1160</v>
      </c>
      <c r="F1565" s="1594">
        <v>380</v>
      </c>
      <c r="G1565" s="1461"/>
      <c r="H1565" s="1557">
        <f>SUM(F1565*G1565)</f>
        <v>0</v>
      </c>
      <c r="J1565" s="1548"/>
      <c r="K1565" s="1591"/>
    </row>
    <row r="1566" spans="1:11" s="1541" customFormat="1">
      <c r="A1566" s="1518"/>
      <c r="B1566" s="1518"/>
      <c r="C1566" s="1522"/>
      <c r="D1566" s="1554"/>
      <c r="E1566" s="1545"/>
      <c r="F1566" s="1594"/>
      <c r="G1566" s="1459"/>
      <c r="H1566" s="1557"/>
      <c r="J1566" s="1548"/>
      <c r="K1566" s="1591"/>
    </row>
    <row r="1567" spans="1:11" s="1541" customFormat="1" ht="53.25">
      <c r="A1567" s="1518" t="str">
        <f>A1565</f>
        <v>H.</v>
      </c>
      <c r="B1567" s="1518" t="str">
        <f t="shared" si="34"/>
        <v>3.</v>
      </c>
      <c r="C1567" s="1518">
        <f>C1565+1</f>
        <v>102</v>
      </c>
      <c r="D1567" s="1554" t="s">
        <v>5320</v>
      </c>
      <c r="E1567" s="1545" t="s">
        <v>34</v>
      </c>
      <c r="F1567" s="1545">
        <v>12</v>
      </c>
      <c r="G1567" s="1461"/>
      <c r="H1567" s="1557">
        <f>SUM(F1567*G1567)</f>
        <v>0</v>
      </c>
      <c r="J1567" s="1548"/>
      <c r="K1567" s="1591"/>
    </row>
    <row r="1568" spans="1:11" s="1541" customFormat="1">
      <c r="A1568" s="1518"/>
      <c r="B1568" s="1518"/>
      <c r="C1568" s="1522"/>
      <c r="D1568" s="1554"/>
      <c r="E1568" s="1545"/>
      <c r="F1568" s="1594"/>
      <c r="G1568" s="1459"/>
      <c r="H1568" s="1557"/>
      <c r="J1568" s="1548"/>
      <c r="K1568" s="1591"/>
    </row>
    <row r="1569" spans="1:11" s="1541" customFormat="1" ht="25.5">
      <c r="A1569" s="1518" t="str">
        <f>A1567</f>
        <v>H.</v>
      </c>
      <c r="B1569" s="1518" t="str">
        <f t="shared" si="34"/>
        <v>3.</v>
      </c>
      <c r="C1569" s="1518">
        <f>C1567+1</f>
        <v>103</v>
      </c>
      <c r="D1569" s="1554" t="s">
        <v>5321</v>
      </c>
      <c r="E1569" s="1545" t="s">
        <v>1160</v>
      </c>
      <c r="F1569" s="1594">
        <v>1320</v>
      </c>
      <c r="G1569" s="1461"/>
      <c r="H1569" s="1557">
        <f>SUM(F1569*G1569)</f>
        <v>0</v>
      </c>
      <c r="J1569" s="1548"/>
      <c r="K1569" s="1591"/>
    </row>
    <row r="1570" spans="1:11" s="1541" customFormat="1">
      <c r="A1570" s="1518"/>
      <c r="B1570" s="1518"/>
      <c r="C1570" s="1522"/>
      <c r="D1570" s="1554"/>
      <c r="E1570" s="1545"/>
      <c r="F1570" s="1594"/>
      <c r="G1570" s="1459"/>
      <c r="H1570" s="1557"/>
      <c r="J1570" s="1548"/>
      <c r="K1570" s="1591"/>
    </row>
    <row r="1571" spans="1:11" s="1541" customFormat="1" ht="25.5">
      <c r="A1571" s="1518"/>
      <c r="B1571" s="1518"/>
      <c r="C1571" s="1519" t="s">
        <v>4635</v>
      </c>
      <c r="D1571" s="1516" t="s">
        <v>5322</v>
      </c>
      <c r="E1571" s="1545"/>
      <c r="F1571" s="1594"/>
      <c r="G1571" s="1459"/>
      <c r="H1571" s="1557"/>
      <c r="J1571" s="1548"/>
      <c r="K1571" s="1591"/>
    </row>
    <row r="1572" spans="1:11" s="1541" customFormat="1" ht="216.75">
      <c r="A1572" s="1518" t="str">
        <f>A1569</f>
        <v>H.</v>
      </c>
      <c r="B1572" s="1518" t="str">
        <f t="shared" ref="B1572" si="35">B1569</f>
        <v>3.</v>
      </c>
      <c r="C1572" s="1518">
        <f>C1569+1</f>
        <v>104</v>
      </c>
      <c r="D1572" s="1554" t="s">
        <v>5323</v>
      </c>
      <c r="E1572" s="1545" t="s">
        <v>2243</v>
      </c>
      <c r="F1572" s="1545">
        <v>2</v>
      </c>
      <c r="G1572" s="1461"/>
      <c r="H1572" s="1557">
        <f>SUM(F1572*G1572)</f>
        <v>0</v>
      </c>
      <c r="J1572" s="1548"/>
      <c r="K1572" s="1591"/>
    </row>
    <row r="1573" spans="1:11" s="1541" customFormat="1">
      <c r="A1573" s="1518"/>
      <c r="B1573" s="1518"/>
      <c r="C1573" s="1522"/>
      <c r="D1573" s="1554"/>
      <c r="E1573" s="1545"/>
      <c r="F1573" s="1594"/>
      <c r="G1573" s="1459"/>
      <c r="H1573" s="1557"/>
      <c r="J1573" s="1548"/>
      <c r="K1573" s="1591"/>
    </row>
    <row r="1574" spans="1:11" s="1541" customFormat="1" ht="89.25">
      <c r="A1574" s="1518" t="str">
        <f>A1572</f>
        <v>H.</v>
      </c>
      <c r="B1574" s="1518" t="str">
        <f t="shared" ref="B1574:B1576" si="36">B1572</f>
        <v>3.</v>
      </c>
      <c r="C1574" s="1518">
        <f>C1572+1</f>
        <v>105</v>
      </c>
      <c r="D1574" s="1554" t="s">
        <v>5324</v>
      </c>
      <c r="E1574" s="1545" t="s">
        <v>2243</v>
      </c>
      <c r="F1574" s="1545">
        <v>6</v>
      </c>
      <c r="G1574" s="1461"/>
      <c r="H1574" s="1557">
        <f>SUM(F1574*G1574)</f>
        <v>0</v>
      </c>
      <c r="J1574" s="1548"/>
      <c r="K1574" s="1591"/>
    </row>
    <row r="1575" spans="1:11" s="1541" customFormat="1">
      <c r="A1575" s="1518"/>
      <c r="B1575" s="1518"/>
      <c r="C1575" s="1522"/>
      <c r="D1575" s="1554"/>
      <c r="E1575" s="1545"/>
      <c r="F1575" s="1545"/>
      <c r="G1575" s="1459"/>
      <c r="H1575" s="1557"/>
      <c r="J1575" s="1548"/>
      <c r="K1575" s="1591"/>
    </row>
    <row r="1576" spans="1:11" s="1541" customFormat="1" ht="25.5">
      <c r="A1576" s="1518" t="str">
        <f>A1574</f>
        <v>H.</v>
      </c>
      <c r="B1576" s="1518" t="str">
        <f t="shared" si="36"/>
        <v>3.</v>
      </c>
      <c r="C1576" s="1518">
        <f>C1574+1</f>
        <v>106</v>
      </c>
      <c r="D1576" s="1554" t="s">
        <v>5325</v>
      </c>
      <c r="E1576" s="1538"/>
      <c r="F1576" s="1538"/>
      <c r="G1576" s="1453"/>
      <c r="H1576" s="1538"/>
      <c r="J1576" s="1548"/>
      <c r="K1576" s="1591"/>
    </row>
    <row r="1577" spans="1:11" s="1541" customFormat="1" ht="25.5">
      <c r="A1577" s="1518"/>
      <c r="B1577" s="1518"/>
      <c r="C1577" s="1561" t="s">
        <v>4799</v>
      </c>
      <c r="D1577" s="1554" t="s">
        <v>5326</v>
      </c>
      <c r="E1577" s="1545"/>
      <c r="F1577" s="1545"/>
      <c r="G1577" s="1459"/>
      <c r="H1577" s="1557"/>
      <c r="J1577" s="1548"/>
      <c r="K1577" s="1591"/>
    </row>
    <row r="1578" spans="1:11" s="1541" customFormat="1">
      <c r="A1578" s="1518"/>
      <c r="B1578" s="1518"/>
      <c r="C1578" s="1561" t="s">
        <v>4799</v>
      </c>
      <c r="D1578" s="1554" t="s">
        <v>5327</v>
      </c>
      <c r="E1578" s="1545"/>
      <c r="F1578" s="1545"/>
      <c r="G1578" s="1459"/>
      <c r="H1578" s="1557"/>
      <c r="J1578" s="1548"/>
      <c r="K1578" s="1591"/>
    </row>
    <row r="1579" spans="1:11" s="1541" customFormat="1">
      <c r="A1579" s="1518"/>
      <c r="B1579" s="1518"/>
      <c r="C1579" s="1561"/>
      <c r="D1579" s="1554" t="s">
        <v>5328</v>
      </c>
      <c r="E1579" s="1545"/>
      <c r="F1579" s="1545"/>
      <c r="G1579" s="1459"/>
      <c r="H1579" s="1557"/>
      <c r="J1579" s="1548"/>
      <c r="K1579" s="1591"/>
    </row>
    <row r="1580" spans="1:11" s="1541" customFormat="1">
      <c r="A1580" s="1518"/>
      <c r="B1580" s="1518"/>
      <c r="C1580" s="1561"/>
      <c r="D1580" s="1554" t="s">
        <v>5329</v>
      </c>
      <c r="E1580" s="1545"/>
      <c r="F1580" s="1545"/>
      <c r="G1580" s="1459"/>
      <c r="H1580" s="1557"/>
      <c r="J1580" s="1548"/>
      <c r="K1580" s="1591"/>
    </row>
    <row r="1581" spans="1:11" s="1541" customFormat="1">
      <c r="A1581" s="1518"/>
      <c r="B1581" s="1518"/>
      <c r="C1581" s="1561" t="s">
        <v>55</v>
      </c>
      <c r="D1581" s="1554" t="s">
        <v>5330</v>
      </c>
      <c r="E1581" s="1545" t="s">
        <v>2243</v>
      </c>
      <c r="F1581" s="1545">
        <v>3</v>
      </c>
      <c r="G1581" s="1461"/>
      <c r="H1581" s="1557">
        <f>SUM(F1581*G1581)</f>
        <v>0</v>
      </c>
      <c r="J1581" s="1548"/>
      <c r="K1581" s="1591"/>
    </row>
    <row r="1582" spans="1:11" s="1541" customFormat="1">
      <c r="A1582" s="1518"/>
      <c r="B1582" s="1518"/>
      <c r="C1582" s="1561"/>
      <c r="D1582" s="1554"/>
      <c r="E1582" s="1545"/>
      <c r="F1582" s="1545"/>
      <c r="G1582" s="1459"/>
      <c r="H1582" s="1557"/>
      <c r="J1582" s="1548"/>
      <c r="K1582" s="1591"/>
    </row>
    <row r="1583" spans="1:11" s="1541" customFormat="1" ht="38.25">
      <c r="A1583" s="1518" t="str">
        <f>A1576</f>
        <v>H.</v>
      </c>
      <c r="B1583" s="1518" t="str">
        <f t="shared" ref="B1583" si="37">B1576</f>
        <v>3.</v>
      </c>
      <c r="C1583" s="1518">
        <f>C1576+1</f>
        <v>107</v>
      </c>
      <c r="D1583" s="1554" t="s">
        <v>5331</v>
      </c>
      <c r="E1583" s="1545"/>
      <c r="F1583" s="1545"/>
      <c r="G1583" s="1459"/>
      <c r="H1583" s="1557"/>
      <c r="J1583" s="1548"/>
      <c r="K1583" s="1591"/>
    </row>
    <row r="1584" spans="1:11" s="1541" customFormat="1" ht="25.5">
      <c r="A1584" s="1518"/>
      <c r="B1584" s="1518"/>
      <c r="C1584" s="1561" t="s">
        <v>4799</v>
      </c>
      <c r="D1584" s="1554" t="s">
        <v>5326</v>
      </c>
      <c r="E1584" s="1545"/>
      <c r="F1584" s="1545"/>
      <c r="G1584" s="1459"/>
      <c r="H1584" s="1557"/>
      <c r="J1584" s="1548"/>
      <c r="K1584" s="1591"/>
    </row>
    <row r="1585" spans="1:11" s="1541" customFormat="1">
      <c r="A1585" s="1518"/>
      <c r="B1585" s="1518"/>
      <c r="C1585" s="1561" t="s">
        <v>4799</v>
      </c>
      <c r="D1585" s="1554" t="s">
        <v>5332</v>
      </c>
      <c r="E1585" s="1545"/>
      <c r="F1585" s="1545"/>
      <c r="G1585" s="1459"/>
      <c r="H1585" s="1557"/>
      <c r="J1585" s="1548"/>
      <c r="K1585" s="1591"/>
    </row>
    <row r="1586" spans="1:11" s="1541" customFormat="1">
      <c r="A1586" s="1518"/>
      <c r="B1586" s="1518"/>
      <c r="C1586" s="1561"/>
      <c r="D1586" s="1554" t="s">
        <v>5328</v>
      </c>
      <c r="E1586" s="1545"/>
      <c r="F1586" s="1545"/>
      <c r="G1586" s="1459"/>
      <c r="H1586" s="1557"/>
      <c r="J1586" s="1548"/>
      <c r="K1586" s="1591"/>
    </row>
    <row r="1587" spans="1:11" s="1541" customFormat="1">
      <c r="A1587" s="1518"/>
      <c r="B1587" s="1518"/>
      <c r="C1587" s="1561"/>
      <c r="D1587" s="1554" t="s">
        <v>5329</v>
      </c>
      <c r="E1587" s="1545"/>
      <c r="F1587" s="1545"/>
      <c r="G1587" s="1459"/>
      <c r="H1587" s="1557"/>
      <c r="J1587" s="1548"/>
      <c r="K1587" s="1591"/>
    </row>
    <row r="1588" spans="1:11" s="1541" customFormat="1" ht="25.5">
      <c r="A1588" s="1518"/>
      <c r="B1588" s="1518"/>
      <c r="C1588" s="1561" t="s">
        <v>55</v>
      </c>
      <c r="D1588" s="1554" t="s">
        <v>5333</v>
      </c>
      <c r="E1588" s="1545" t="s">
        <v>2243</v>
      </c>
      <c r="F1588" s="1545">
        <v>12</v>
      </c>
      <c r="G1588" s="1461"/>
      <c r="H1588" s="1557">
        <f>SUM(F1588*G1588)</f>
        <v>0</v>
      </c>
      <c r="J1588" s="1548"/>
      <c r="K1588" s="1591"/>
    </row>
    <row r="1589" spans="1:11" s="1541" customFormat="1">
      <c r="A1589" s="1518"/>
      <c r="B1589" s="1518"/>
      <c r="C1589" s="1522"/>
      <c r="D1589" s="1554"/>
      <c r="E1589" s="1545"/>
      <c r="F1589" s="1545"/>
      <c r="G1589" s="1459"/>
      <c r="H1589" s="1557"/>
      <c r="J1589" s="1548"/>
      <c r="K1589" s="1591"/>
    </row>
    <row r="1590" spans="1:11" s="1541" customFormat="1" ht="38.25">
      <c r="A1590" s="1518" t="str">
        <f>A1583</f>
        <v>H.</v>
      </c>
      <c r="B1590" s="1518" t="str">
        <f t="shared" ref="B1590" si="38">B1583</f>
        <v>3.</v>
      </c>
      <c r="C1590" s="1518">
        <f>C1583+1</f>
        <v>108</v>
      </c>
      <c r="D1590" s="1554" t="s">
        <v>5334</v>
      </c>
      <c r="E1590" s="1545"/>
      <c r="F1590" s="1545"/>
      <c r="G1590" s="1459"/>
      <c r="H1590" s="1557"/>
      <c r="J1590" s="1548"/>
      <c r="K1590" s="1591"/>
    </row>
    <row r="1591" spans="1:11" s="1541" customFormat="1">
      <c r="A1591" s="1518"/>
      <c r="B1591" s="1518"/>
      <c r="C1591" s="1561"/>
      <c r="D1591" s="1554" t="s">
        <v>5328</v>
      </c>
      <c r="E1591" s="1545"/>
      <c r="F1591" s="1545"/>
      <c r="G1591" s="1459"/>
      <c r="H1591" s="1557"/>
      <c r="J1591" s="1548"/>
      <c r="K1591" s="1591"/>
    </row>
    <row r="1592" spans="1:11" s="1541" customFormat="1" ht="25.5">
      <c r="A1592" s="1518"/>
      <c r="B1592" s="1518"/>
      <c r="C1592" s="1561" t="s">
        <v>55</v>
      </c>
      <c r="D1592" s="1554" t="s">
        <v>5335</v>
      </c>
      <c r="E1592" s="1545" t="s">
        <v>2243</v>
      </c>
      <c r="F1592" s="1545">
        <v>1</v>
      </c>
      <c r="G1592" s="1461"/>
      <c r="H1592" s="1557">
        <f>SUM(F1592*G1592)</f>
        <v>0</v>
      </c>
      <c r="J1592" s="1548"/>
      <c r="K1592" s="1591"/>
    </row>
    <row r="1593" spans="1:11" s="1541" customFormat="1">
      <c r="A1593" s="1518"/>
      <c r="B1593" s="1518"/>
      <c r="C1593" s="1561"/>
      <c r="D1593" s="1554"/>
      <c r="E1593" s="1545"/>
      <c r="F1593" s="1545"/>
      <c r="G1593" s="1461"/>
      <c r="H1593" s="1557"/>
      <c r="J1593" s="1548"/>
      <c r="K1593" s="1591"/>
    </row>
    <row r="1594" spans="1:11" s="1541" customFormat="1">
      <c r="A1594" s="1518" t="str">
        <f>A1590</f>
        <v>H.</v>
      </c>
      <c r="B1594" s="1518" t="str">
        <f t="shared" ref="B1594" si="39">B1590</f>
        <v>3.</v>
      </c>
      <c r="C1594" s="1518">
        <f>C1590+1</f>
        <v>109</v>
      </c>
      <c r="D1594" s="1554" t="s">
        <v>5336</v>
      </c>
      <c r="E1594" s="1545" t="s">
        <v>2243</v>
      </c>
      <c r="F1594" s="1545">
        <v>1</v>
      </c>
      <c r="G1594" s="1461"/>
      <c r="H1594" s="1557">
        <f>SUM(F1594*G1594)</f>
        <v>0</v>
      </c>
      <c r="J1594" s="1548"/>
      <c r="K1594" s="1591"/>
    </row>
    <row r="1595" spans="1:11" s="1541" customFormat="1">
      <c r="A1595" s="1518"/>
      <c r="B1595" s="1518"/>
      <c r="C1595" s="1522"/>
      <c r="D1595" s="1554"/>
      <c r="E1595" s="1545"/>
      <c r="F1595" s="1594"/>
      <c r="G1595" s="1459"/>
      <c r="H1595" s="1557"/>
      <c r="J1595" s="1548"/>
      <c r="K1595" s="1591"/>
    </row>
    <row r="1596" spans="1:11" s="1541" customFormat="1" ht="25.5">
      <c r="A1596" s="1518" t="str">
        <f>A1594</f>
        <v>H.</v>
      </c>
      <c r="B1596" s="1518" t="str">
        <f t="shared" ref="B1596" si="40">B1594</f>
        <v>3.</v>
      </c>
      <c r="C1596" s="1518">
        <f>C1594+1</f>
        <v>110</v>
      </c>
      <c r="D1596" s="1554" t="s">
        <v>5337</v>
      </c>
      <c r="E1596" s="1545" t="s">
        <v>1160</v>
      </c>
      <c r="F1596" s="1594">
        <v>360</v>
      </c>
      <c r="G1596" s="1461"/>
      <c r="H1596" s="1557">
        <f>SUM(F1596*G1596)</f>
        <v>0</v>
      </c>
      <c r="J1596" s="1548"/>
      <c r="K1596" s="1591"/>
    </row>
    <row r="1597" spans="1:11" s="1541" customFormat="1">
      <c r="A1597" s="1518"/>
      <c r="B1597" s="1518"/>
      <c r="C1597" s="1522"/>
      <c r="D1597" s="1554"/>
      <c r="E1597" s="1545"/>
      <c r="F1597" s="1594"/>
      <c r="G1597" s="1459"/>
      <c r="H1597" s="1557"/>
      <c r="J1597" s="1548"/>
      <c r="K1597" s="1591"/>
    </row>
    <row r="1598" spans="1:11" s="1541" customFormat="1" ht="25.5">
      <c r="A1598" s="1518" t="str">
        <f>A1596</f>
        <v>H.</v>
      </c>
      <c r="B1598" s="1518" t="str">
        <f t="shared" ref="B1598" si="41">B1596</f>
        <v>3.</v>
      </c>
      <c r="C1598" s="1518">
        <f>C1596+1</f>
        <v>111</v>
      </c>
      <c r="D1598" s="1554" t="s">
        <v>5338</v>
      </c>
      <c r="E1598" s="1545" t="s">
        <v>1160</v>
      </c>
      <c r="F1598" s="1594">
        <v>360</v>
      </c>
      <c r="G1598" s="1461"/>
      <c r="H1598" s="1557">
        <f>SUM(F1598*G1598)</f>
        <v>0</v>
      </c>
      <c r="J1598" s="1548"/>
      <c r="K1598" s="1591"/>
    </row>
    <row r="1599" spans="1:11" s="1541" customFormat="1">
      <c r="A1599" s="1518"/>
      <c r="B1599" s="1518"/>
      <c r="C1599" s="1522"/>
      <c r="D1599" s="1554"/>
      <c r="E1599" s="1545"/>
      <c r="F1599" s="1594"/>
      <c r="G1599" s="1459"/>
      <c r="H1599" s="1557"/>
      <c r="J1599" s="1548"/>
      <c r="K1599" s="1591"/>
    </row>
    <row r="1600" spans="1:11" s="1541" customFormat="1" ht="25.5">
      <c r="A1600" s="1518" t="str">
        <f>A1598</f>
        <v>H.</v>
      </c>
      <c r="B1600" s="1518" t="str">
        <f t="shared" ref="B1600" si="42">B1598</f>
        <v>3.</v>
      </c>
      <c r="C1600" s="1518">
        <f>C1598+1</f>
        <v>112</v>
      </c>
      <c r="D1600" s="1554" t="s">
        <v>5339</v>
      </c>
      <c r="E1600" s="1545" t="s">
        <v>2243</v>
      </c>
      <c r="F1600" s="1545">
        <v>3</v>
      </c>
      <c r="G1600" s="1461"/>
      <c r="H1600" s="1557">
        <f>SUM(F1600*G1600)</f>
        <v>0</v>
      </c>
      <c r="J1600" s="1548"/>
      <c r="K1600" s="1591"/>
    </row>
    <row r="1601" spans="1:11" s="1541" customFormat="1">
      <c r="A1601" s="1518"/>
      <c r="B1601" s="1518"/>
      <c r="C1601" s="1522"/>
      <c r="D1601" s="1554"/>
      <c r="E1601" s="1545"/>
      <c r="F1601" s="1545"/>
      <c r="G1601" s="1459"/>
      <c r="H1601" s="1557"/>
      <c r="J1601" s="1548"/>
      <c r="K1601" s="1591"/>
    </row>
    <row r="1602" spans="1:11" s="1541" customFormat="1" ht="38.25">
      <c r="A1602" s="1518" t="str">
        <f>A1600</f>
        <v>H.</v>
      </c>
      <c r="B1602" s="1518" t="str">
        <f t="shared" ref="B1602" si="43">B1600</f>
        <v>3.</v>
      </c>
      <c r="C1602" s="1518">
        <f>C1600+1</f>
        <v>113</v>
      </c>
      <c r="D1602" s="1554" t="s">
        <v>5340</v>
      </c>
      <c r="E1602" s="1545" t="s">
        <v>2243</v>
      </c>
      <c r="F1602" s="1545">
        <v>1</v>
      </c>
      <c r="G1602" s="1461"/>
      <c r="H1602" s="1557">
        <f>SUM(F1602*G1602)</f>
        <v>0</v>
      </c>
      <c r="J1602" s="1548"/>
      <c r="K1602" s="1591"/>
    </row>
    <row r="1603" spans="1:11" s="1541" customFormat="1">
      <c r="A1603" s="1518"/>
      <c r="B1603" s="1518"/>
      <c r="C1603" s="1522"/>
      <c r="D1603" s="1554"/>
      <c r="E1603" s="1545"/>
      <c r="F1603" s="1594"/>
      <c r="G1603" s="1459"/>
      <c r="H1603" s="1557"/>
      <c r="J1603" s="1548"/>
      <c r="K1603" s="1591"/>
    </row>
    <row r="1604" spans="1:11" s="1541" customFormat="1">
      <c r="A1604" s="1518"/>
      <c r="B1604" s="1518"/>
      <c r="C1604" s="1519" t="s">
        <v>4635</v>
      </c>
      <c r="D1604" s="1516" t="s">
        <v>5341</v>
      </c>
      <c r="E1604" s="1545"/>
      <c r="F1604" s="1594"/>
      <c r="G1604" s="1459"/>
      <c r="H1604" s="1557"/>
      <c r="J1604" s="1548"/>
      <c r="K1604" s="1591"/>
    </row>
    <row r="1605" spans="1:11" s="1541" customFormat="1" ht="204">
      <c r="A1605" s="1518" t="str">
        <f>A1602</f>
        <v>H.</v>
      </c>
      <c r="B1605" s="1518" t="str">
        <f t="shared" ref="B1605" si="44">B1602</f>
        <v>3.</v>
      </c>
      <c r="C1605" s="1518">
        <f>C1602+1</f>
        <v>114</v>
      </c>
      <c r="D1605" s="1554" t="s">
        <v>5342</v>
      </c>
      <c r="E1605" s="1545" t="s">
        <v>2243</v>
      </c>
      <c r="F1605" s="1545">
        <v>2</v>
      </c>
      <c r="G1605" s="1461"/>
      <c r="H1605" s="1557">
        <f>SUM(F1605*G1605)</f>
        <v>0</v>
      </c>
      <c r="J1605" s="1548"/>
      <c r="K1605" s="1591"/>
    </row>
    <row r="1606" spans="1:11" s="1541" customFormat="1">
      <c r="A1606" s="1518"/>
      <c r="B1606" s="1518"/>
      <c r="C1606" s="1522"/>
      <c r="D1606" s="1554"/>
      <c r="E1606" s="1545"/>
      <c r="F1606" s="1594"/>
      <c r="G1606" s="1459"/>
      <c r="H1606" s="1557"/>
      <c r="J1606" s="1548"/>
      <c r="K1606" s="1591"/>
    </row>
    <row r="1607" spans="1:11" s="1541" customFormat="1" ht="89.25">
      <c r="A1607" s="1518" t="str">
        <f>A1605</f>
        <v>H.</v>
      </c>
      <c r="B1607" s="1518" t="str">
        <f t="shared" ref="B1607" si="45">B1605</f>
        <v>3.</v>
      </c>
      <c r="C1607" s="1518">
        <f>C1605+1</f>
        <v>115</v>
      </c>
      <c r="D1607" s="1554" t="s">
        <v>5324</v>
      </c>
      <c r="E1607" s="1545" t="s">
        <v>2243</v>
      </c>
      <c r="F1607" s="1545">
        <v>2</v>
      </c>
      <c r="G1607" s="1461"/>
      <c r="H1607" s="1557">
        <f>SUM(F1607*G1607)</f>
        <v>0</v>
      </c>
      <c r="J1607" s="1548"/>
      <c r="K1607" s="1591"/>
    </row>
    <row r="1608" spans="1:11" s="1541" customFormat="1">
      <c r="A1608" s="1518"/>
      <c r="B1608" s="1518"/>
      <c r="C1608" s="1561"/>
      <c r="D1608" s="1554"/>
      <c r="E1608" s="1545"/>
      <c r="F1608" s="1545"/>
      <c r="G1608" s="1459"/>
      <c r="H1608" s="1557"/>
      <c r="J1608" s="1548"/>
      <c r="K1608" s="1591"/>
    </row>
    <row r="1609" spans="1:11" s="1541" customFormat="1" ht="38.25">
      <c r="A1609" s="1518" t="str">
        <f>A1607</f>
        <v>H.</v>
      </c>
      <c r="B1609" s="1518" t="str">
        <f t="shared" ref="B1609" si="46">B1607</f>
        <v>3.</v>
      </c>
      <c r="C1609" s="1518">
        <f>C1607+1</f>
        <v>116</v>
      </c>
      <c r="D1609" s="1554" t="s">
        <v>5331</v>
      </c>
      <c r="E1609" s="1545"/>
      <c r="F1609" s="1545"/>
      <c r="G1609" s="1459"/>
      <c r="H1609" s="1557"/>
      <c r="J1609" s="1548"/>
      <c r="K1609" s="1591"/>
    </row>
    <row r="1610" spans="1:11" s="1541" customFormat="1" ht="25.5">
      <c r="A1610" s="1518"/>
      <c r="B1610" s="1518"/>
      <c r="C1610" s="1561" t="s">
        <v>4799</v>
      </c>
      <c r="D1610" s="1554" t="s">
        <v>5326</v>
      </c>
      <c r="E1610" s="1545"/>
      <c r="F1610" s="1545"/>
      <c r="G1610" s="1459"/>
      <c r="H1610" s="1557"/>
      <c r="J1610" s="1548"/>
      <c r="K1610" s="1591"/>
    </row>
    <row r="1611" spans="1:11" s="1541" customFormat="1">
      <c r="A1611" s="1518"/>
      <c r="B1611" s="1518"/>
      <c r="C1611" s="1561" t="s">
        <v>4799</v>
      </c>
      <c r="D1611" s="1554" t="s">
        <v>5332</v>
      </c>
      <c r="E1611" s="1545"/>
      <c r="F1611" s="1545"/>
      <c r="G1611" s="1459"/>
      <c r="H1611" s="1557"/>
      <c r="J1611" s="1548"/>
      <c r="K1611" s="1591"/>
    </row>
    <row r="1612" spans="1:11" s="1541" customFormat="1">
      <c r="A1612" s="1518"/>
      <c r="B1612" s="1518"/>
      <c r="C1612" s="1561"/>
      <c r="D1612" s="1554" t="s">
        <v>5328</v>
      </c>
      <c r="E1612" s="1545"/>
      <c r="F1612" s="1545"/>
      <c r="G1612" s="1459"/>
      <c r="H1612" s="1557"/>
      <c r="J1612" s="1548"/>
      <c r="K1612" s="1591"/>
    </row>
    <row r="1613" spans="1:11" s="1541" customFormat="1">
      <c r="A1613" s="1518"/>
      <c r="B1613" s="1518"/>
      <c r="C1613" s="1561"/>
      <c r="D1613" s="1554" t="s">
        <v>5329</v>
      </c>
      <c r="E1613" s="1545"/>
      <c r="F1613" s="1545"/>
      <c r="G1613" s="1459"/>
      <c r="H1613" s="1557"/>
      <c r="J1613" s="1548"/>
      <c r="K1613" s="1591"/>
    </row>
    <row r="1614" spans="1:11" s="1541" customFormat="1" ht="25.5">
      <c r="A1614" s="1518"/>
      <c r="B1614" s="1518"/>
      <c r="C1614" s="1561" t="s">
        <v>55</v>
      </c>
      <c r="D1614" s="1554" t="s">
        <v>5333</v>
      </c>
      <c r="E1614" s="1545" t="s">
        <v>2243</v>
      </c>
      <c r="F1614" s="1545">
        <v>12</v>
      </c>
      <c r="G1614" s="1461"/>
      <c r="H1614" s="1557">
        <f>SUM(F1614*G1614)</f>
        <v>0</v>
      </c>
      <c r="J1614" s="1548"/>
      <c r="K1614" s="1591"/>
    </row>
    <row r="1615" spans="1:11" s="1541" customFormat="1">
      <c r="A1615" s="1518"/>
      <c r="B1615" s="1518"/>
      <c r="C1615" s="1561"/>
      <c r="D1615" s="1554"/>
      <c r="E1615" s="1545"/>
      <c r="F1615" s="1545"/>
      <c r="G1615" s="1461"/>
      <c r="H1615" s="1557"/>
      <c r="J1615" s="1548"/>
      <c r="K1615" s="1591"/>
    </row>
    <row r="1616" spans="1:11" s="1541" customFormat="1">
      <c r="A1616" s="1518" t="str">
        <f>A1609</f>
        <v>H.</v>
      </c>
      <c r="B1616" s="1518" t="str">
        <f t="shared" ref="B1616" si="47">B1609</f>
        <v>3.</v>
      </c>
      <c r="C1616" s="1518">
        <f>C1609+1</f>
        <v>117</v>
      </c>
      <c r="D1616" s="1554" t="s">
        <v>5336</v>
      </c>
      <c r="E1616" s="1545" t="s">
        <v>2243</v>
      </c>
      <c r="F1616" s="1545">
        <v>1</v>
      </c>
      <c r="G1616" s="1461"/>
      <c r="H1616" s="1557">
        <f>SUM(F1616*G1616)</f>
        <v>0</v>
      </c>
      <c r="J1616" s="1548"/>
      <c r="K1616" s="1591"/>
    </row>
    <row r="1617" spans="1:11" s="1541" customFormat="1">
      <c r="A1617" s="1518"/>
      <c r="B1617" s="1518"/>
      <c r="C1617" s="1522"/>
      <c r="D1617" s="1554"/>
      <c r="E1617" s="1545"/>
      <c r="F1617" s="1594"/>
      <c r="G1617" s="1459"/>
      <c r="H1617" s="1557"/>
      <c r="J1617" s="1548"/>
      <c r="K1617" s="1591"/>
    </row>
    <row r="1618" spans="1:11" s="1541" customFormat="1" ht="25.5">
      <c r="A1618" s="1518" t="str">
        <f>A1616</f>
        <v>H.</v>
      </c>
      <c r="B1618" s="1518" t="str">
        <f t="shared" ref="B1618" si="48">B1616</f>
        <v>3.</v>
      </c>
      <c r="C1618" s="1518">
        <f>C1616+1</f>
        <v>118</v>
      </c>
      <c r="D1618" s="1554" t="s">
        <v>5337</v>
      </c>
      <c r="E1618" s="1545" t="s">
        <v>1160</v>
      </c>
      <c r="F1618" s="1594">
        <v>60</v>
      </c>
      <c r="G1618" s="1461"/>
      <c r="H1618" s="1557">
        <f>SUM(F1618*G1618)</f>
        <v>0</v>
      </c>
      <c r="J1618" s="1548"/>
      <c r="K1618" s="1591"/>
    </row>
    <row r="1619" spans="1:11" s="1541" customFormat="1">
      <c r="A1619" s="1518"/>
      <c r="B1619" s="1518"/>
      <c r="C1619" s="1522"/>
      <c r="D1619" s="1554"/>
      <c r="E1619" s="1545"/>
      <c r="F1619" s="1594"/>
      <c r="G1619" s="1459"/>
      <c r="H1619" s="1557"/>
      <c r="J1619" s="1548"/>
      <c r="K1619" s="1591"/>
    </row>
    <row r="1620" spans="1:11" s="1541" customFormat="1" ht="25.5">
      <c r="A1620" s="1518" t="str">
        <f>A1618</f>
        <v>H.</v>
      </c>
      <c r="B1620" s="1518" t="str">
        <f t="shared" ref="B1620" si="49">B1618</f>
        <v>3.</v>
      </c>
      <c r="C1620" s="1518">
        <f>C1618+1</f>
        <v>119</v>
      </c>
      <c r="D1620" s="1554" t="s">
        <v>5338</v>
      </c>
      <c r="E1620" s="1545" t="s">
        <v>1160</v>
      </c>
      <c r="F1620" s="1594">
        <v>100</v>
      </c>
      <c r="G1620" s="1461"/>
      <c r="H1620" s="1557">
        <f>SUM(F1620*G1620)</f>
        <v>0</v>
      </c>
      <c r="J1620" s="1548"/>
      <c r="K1620" s="1591"/>
    </row>
    <row r="1621" spans="1:11" s="1541" customFormat="1">
      <c r="A1621" s="1518"/>
      <c r="B1621" s="1518"/>
      <c r="C1621" s="1522"/>
      <c r="D1621" s="1554"/>
      <c r="E1621" s="1545"/>
      <c r="F1621" s="1594"/>
      <c r="G1621" s="1459"/>
      <c r="H1621" s="1557"/>
      <c r="J1621" s="1548"/>
      <c r="K1621" s="1591"/>
    </row>
    <row r="1622" spans="1:11" s="1541" customFormat="1" ht="25.5">
      <c r="A1622" s="1518" t="str">
        <f>A1620</f>
        <v>H.</v>
      </c>
      <c r="B1622" s="1518" t="str">
        <f t="shared" ref="B1622" si="50">B1620</f>
        <v>3.</v>
      </c>
      <c r="C1622" s="1518">
        <f>C1620+1</f>
        <v>120</v>
      </c>
      <c r="D1622" s="1554" t="s">
        <v>5339</v>
      </c>
      <c r="E1622" s="1545" t="s">
        <v>2243</v>
      </c>
      <c r="F1622" s="1545">
        <v>4</v>
      </c>
      <c r="G1622" s="1461"/>
      <c r="H1622" s="1557">
        <f>SUM(F1622*G1622)</f>
        <v>0</v>
      </c>
      <c r="J1622" s="1548"/>
      <c r="K1622" s="1591"/>
    </row>
    <row r="1623" spans="1:11" s="1541" customFormat="1">
      <c r="A1623" s="1518"/>
      <c r="B1623" s="1518"/>
      <c r="C1623" s="1522"/>
      <c r="D1623" s="1554"/>
      <c r="E1623" s="1545"/>
      <c r="F1623" s="1545"/>
      <c r="G1623" s="1459"/>
      <c r="H1623" s="1557"/>
      <c r="J1623" s="1548"/>
      <c r="K1623" s="1591"/>
    </row>
    <row r="1624" spans="1:11" s="1541" customFormat="1" ht="38.25">
      <c r="A1624" s="1518" t="str">
        <f>A1622</f>
        <v>H.</v>
      </c>
      <c r="B1624" s="1518" t="str">
        <f t="shared" ref="B1624" si="51">B1622</f>
        <v>3.</v>
      </c>
      <c r="C1624" s="1518">
        <f>C1622+1</f>
        <v>121</v>
      </c>
      <c r="D1624" s="1554" t="s">
        <v>5343</v>
      </c>
      <c r="E1624" s="1545" t="s">
        <v>2243</v>
      </c>
      <c r="F1624" s="1545">
        <v>1</v>
      </c>
      <c r="G1624" s="1461"/>
      <c r="H1624" s="1557">
        <f>SUM(F1624*G1624)</f>
        <v>0</v>
      </c>
      <c r="J1624" s="1548"/>
      <c r="K1624" s="1591"/>
    </row>
    <row r="1625" spans="1:11" s="1541" customFormat="1">
      <c r="A1625" s="1518"/>
      <c r="B1625" s="1518"/>
      <c r="C1625" s="1522"/>
      <c r="D1625" s="1554"/>
      <c r="E1625" s="1545"/>
      <c r="F1625" s="1545"/>
      <c r="G1625" s="1459"/>
      <c r="H1625" s="1557"/>
      <c r="J1625" s="1548"/>
      <c r="K1625" s="1591"/>
    </row>
    <row r="1626" spans="1:11" s="1541" customFormat="1">
      <c r="A1626" s="1518"/>
      <c r="B1626" s="1518"/>
      <c r="C1626" s="1519" t="s">
        <v>4635</v>
      </c>
      <c r="D1626" s="1516" t="s">
        <v>5344</v>
      </c>
      <c r="E1626" s="1545"/>
      <c r="F1626" s="1545"/>
      <c r="G1626" s="1459"/>
      <c r="H1626" s="1557"/>
      <c r="J1626" s="1548"/>
      <c r="K1626" s="1591"/>
    </row>
    <row r="1627" spans="1:11" s="1541" customFormat="1" ht="25.5">
      <c r="A1627" s="1518" t="str">
        <f>A1624</f>
        <v>H.</v>
      </c>
      <c r="B1627" s="1518" t="str">
        <f t="shared" ref="B1627" si="52">B1624</f>
        <v>3.</v>
      </c>
      <c r="C1627" s="1518">
        <f>C1624+1</f>
        <v>122</v>
      </c>
      <c r="D1627" s="1554" t="s">
        <v>5345</v>
      </c>
      <c r="E1627" s="1545"/>
      <c r="F1627" s="1594"/>
      <c r="G1627" s="1459"/>
      <c r="H1627" s="1557"/>
      <c r="J1627" s="1548"/>
      <c r="K1627" s="1591"/>
    </row>
    <row r="1628" spans="1:11" s="1541" customFormat="1" ht="89.25">
      <c r="A1628" s="1518"/>
      <c r="B1628" s="1518"/>
      <c r="C1628" s="1522"/>
      <c r="D1628" s="1554" t="s">
        <v>5346</v>
      </c>
      <c r="E1628" s="1545"/>
      <c r="F1628" s="1545"/>
      <c r="G1628" s="1459"/>
      <c r="H1628" s="1557"/>
      <c r="J1628" s="1548"/>
      <c r="K1628" s="1591"/>
    </row>
    <row r="1629" spans="1:11" s="1541" customFormat="1">
      <c r="A1629" s="1518"/>
      <c r="B1629" s="1518"/>
      <c r="C1629" s="1522"/>
      <c r="D1629" s="1554" t="s">
        <v>5347</v>
      </c>
      <c r="E1629" s="1545"/>
      <c r="F1629" s="1545"/>
      <c r="G1629" s="1459"/>
      <c r="H1629" s="1557"/>
      <c r="J1629" s="1548"/>
      <c r="K1629" s="1591"/>
    </row>
    <row r="1630" spans="1:11" s="1541" customFormat="1" ht="25.5">
      <c r="A1630" s="1518"/>
      <c r="B1630" s="1518"/>
      <c r="C1630" s="1522"/>
      <c r="D1630" s="1554" t="s">
        <v>5348</v>
      </c>
      <c r="E1630" s="1545"/>
      <c r="F1630" s="1545"/>
      <c r="G1630" s="1459"/>
      <c r="H1630" s="1557"/>
      <c r="J1630" s="1548"/>
      <c r="K1630" s="1591"/>
    </row>
    <row r="1631" spans="1:11" s="1541" customFormat="1" ht="38.25">
      <c r="A1631" s="1518"/>
      <c r="B1631" s="1518"/>
      <c r="C1631" s="1522"/>
      <c r="D1631" s="1554" t="s">
        <v>5349</v>
      </c>
      <c r="E1631" s="1545"/>
      <c r="F1631" s="1545"/>
      <c r="G1631" s="1459"/>
      <c r="H1631" s="1557"/>
      <c r="J1631" s="1548"/>
      <c r="K1631" s="1591"/>
    </row>
    <row r="1632" spans="1:11" s="1541" customFormat="1">
      <c r="A1632" s="1518"/>
      <c r="B1632" s="1518"/>
      <c r="C1632" s="1522"/>
      <c r="D1632" s="1554" t="s">
        <v>5350</v>
      </c>
      <c r="E1632" s="1545"/>
      <c r="F1632" s="1594"/>
      <c r="G1632" s="1459"/>
      <c r="H1632" s="1557"/>
      <c r="J1632" s="1548"/>
      <c r="K1632" s="1591"/>
    </row>
    <row r="1633" spans="1:11" s="1541" customFormat="1">
      <c r="A1633" s="1518"/>
      <c r="B1633" s="1518"/>
      <c r="C1633" s="1563" t="s">
        <v>4799</v>
      </c>
      <c r="D1633" s="1554" t="s">
        <v>5351</v>
      </c>
      <c r="E1633" s="1545"/>
      <c r="F1633" s="1594"/>
      <c r="G1633" s="1459"/>
      <c r="H1633" s="1557"/>
      <c r="J1633" s="1548"/>
      <c r="K1633" s="1591"/>
    </row>
    <row r="1634" spans="1:11" s="1541" customFormat="1">
      <c r="A1634" s="1518"/>
      <c r="B1634" s="1518"/>
      <c r="C1634" s="1563" t="s">
        <v>4799</v>
      </c>
      <c r="D1634" s="1554" t="s">
        <v>5352</v>
      </c>
      <c r="E1634" s="1545"/>
      <c r="F1634" s="1594"/>
      <c r="G1634" s="1459"/>
      <c r="H1634" s="1557"/>
      <c r="J1634" s="1548"/>
      <c r="K1634" s="1591"/>
    </row>
    <row r="1635" spans="1:11" s="1541" customFormat="1">
      <c r="A1635" s="1518"/>
      <c r="B1635" s="1518"/>
      <c r="C1635" s="1563" t="s">
        <v>4799</v>
      </c>
      <c r="D1635" s="1554" t="s">
        <v>5353</v>
      </c>
      <c r="E1635" s="1545"/>
      <c r="F1635" s="1594"/>
      <c r="G1635" s="1459"/>
      <c r="H1635" s="1557"/>
      <c r="J1635" s="1548"/>
      <c r="K1635" s="1591"/>
    </row>
    <row r="1636" spans="1:11" s="1541" customFormat="1" ht="25.5">
      <c r="A1636" s="1518"/>
      <c r="B1636" s="1518"/>
      <c r="C1636" s="1563" t="s">
        <v>4799</v>
      </c>
      <c r="D1636" s="1554" t="s">
        <v>5354</v>
      </c>
      <c r="E1636" s="1545"/>
      <c r="F1636" s="1594"/>
      <c r="G1636" s="1459"/>
      <c r="H1636" s="1557"/>
      <c r="J1636" s="1548"/>
      <c r="K1636" s="1591"/>
    </row>
    <row r="1637" spans="1:11" s="1541" customFormat="1">
      <c r="A1637" s="1518"/>
      <c r="B1637" s="1518"/>
      <c r="C1637" s="1563" t="s">
        <v>4799</v>
      </c>
      <c r="D1637" s="1554" t="s">
        <v>5355</v>
      </c>
      <c r="E1637" s="1545"/>
      <c r="F1637" s="1594"/>
      <c r="G1637" s="1459"/>
      <c r="H1637" s="1557"/>
      <c r="J1637" s="1548"/>
      <c r="K1637" s="1591"/>
    </row>
    <row r="1638" spans="1:11" s="1541" customFormat="1" ht="38.25">
      <c r="A1638" s="1518"/>
      <c r="B1638" s="1518"/>
      <c r="C1638" s="1522"/>
      <c r="D1638" s="1554" t="s">
        <v>5356</v>
      </c>
      <c r="E1638" s="1545"/>
      <c r="F1638" s="1545"/>
      <c r="G1638" s="1459"/>
      <c r="H1638" s="1557"/>
      <c r="J1638" s="1548"/>
      <c r="K1638" s="1591"/>
    </row>
    <row r="1639" spans="1:11" s="1541" customFormat="1" ht="25.5">
      <c r="A1639" s="1518"/>
      <c r="B1639" s="1518"/>
      <c r="C1639" s="1522"/>
      <c r="D1639" s="1554" t="s">
        <v>5357</v>
      </c>
      <c r="E1639" s="1545"/>
      <c r="F1639" s="1545"/>
      <c r="G1639" s="1459"/>
      <c r="H1639" s="1557"/>
      <c r="J1639" s="1548"/>
      <c r="K1639" s="1591"/>
    </row>
    <row r="1640" spans="1:11" s="1541" customFormat="1">
      <c r="A1640" s="1518"/>
      <c r="B1640" s="1518"/>
      <c r="C1640" s="1522"/>
      <c r="D1640" s="1554" t="s">
        <v>5358</v>
      </c>
      <c r="E1640" s="1545"/>
      <c r="F1640" s="1545"/>
      <c r="G1640" s="1459"/>
      <c r="H1640" s="1557"/>
      <c r="J1640" s="1548"/>
      <c r="K1640" s="1591"/>
    </row>
    <row r="1641" spans="1:11" s="1541" customFormat="1">
      <c r="A1641" s="1518"/>
      <c r="B1641" s="1518"/>
      <c r="C1641" s="1563"/>
      <c r="D1641" s="1554" t="s">
        <v>5359</v>
      </c>
      <c r="E1641" s="1545"/>
      <c r="F1641" s="1545"/>
      <c r="G1641" s="1459"/>
      <c r="H1641" s="1557"/>
      <c r="J1641" s="1548"/>
      <c r="K1641" s="1591"/>
    </row>
    <row r="1642" spans="1:11" s="1541" customFormat="1">
      <c r="A1642" s="1518"/>
      <c r="B1642" s="1518"/>
      <c r="C1642" s="1522" t="s">
        <v>55</v>
      </c>
      <c r="D1642" s="1516" t="s">
        <v>5360</v>
      </c>
      <c r="E1642" s="1545" t="s">
        <v>2243</v>
      </c>
      <c r="F1642" s="1545">
        <v>1</v>
      </c>
      <c r="G1642" s="1461"/>
      <c r="H1642" s="1557">
        <f>SUM(F1642*G1642)</f>
        <v>0</v>
      </c>
      <c r="J1642" s="1548"/>
      <c r="K1642" s="1591"/>
    </row>
    <row r="1643" spans="1:11" s="1541" customFormat="1">
      <c r="A1643" s="1518"/>
      <c r="B1643" s="1518"/>
      <c r="C1643" s="1522"/>
      <c r="D1643" s="1516"/>
      <c r="E1643" s="1545"/>
      <c r="F1643" s="1545"/>
      <c r="G1643" s="1459"/>
      <c r="H1643" s="1557"/>
      <c r="J1643" s="1548"/>
      <c r="K1643" s="1591"/>
    </row>
    <row r="1644" spans="1:11" s="1541" customFormat="1" ht="25.5">
      <c r="A1644" s="1518" t="str">
        <f>A1627</f>
        <v>H.</v>
      </c>
      <c r="B1644" s="1518" t="str">
        <f t="shared" ref="B1644" si="53">B1627</f>
        <v>3.</v>
      </c>
      <c r="C1644" s="1518">
        <f>C1627+1</f>
        <v>123</v>
      </c>
      <c r="D1644" s="1554" t="s">
        <v>5361</v>
      </c>
      <c r="E1644" s="1545"/>
      <c r="F1644" s="1594"/>
      <c r="G1644" s="1459"/>
      <c r="H1644" s="1557"/>
      <c r="J1644" s="1548"/>
      <c r="K1644" s="1591"/>
    </row>
    <row r="1645" spans="1:11" s="1541" customFormat="1" ht="89.25">
      <c r="A1645" s="1518"/>
      <c r="B1645" s="1518"/>
      <c r="C1645" s="1522"/>
      <c r="D1645" s="1554" t="s">
        <v>5362</v>
      </c>
      <c r="E1645" s="1545"/>
      <c r="F1645" s="1545"/>
      <c r="G1645" s="1459"/>
      <c r="H1645" s="1557"/>
      <c r="J1645" s="1548"/>
      <c r="K1645" s="1591"/>
    </row>
    <row r="1646" spans="1:11" s="1541" customFormat="1">
      <c r="A1646" s="1518"/>
      <c r="B1646" s="1518"/>
      <c r="C1646" s="1522"/>
      <c r="D1646" s="1554" t="s">
        <v>5347</v>
      </c>
      <c r="E1646" s="1545"/>
      <c r="F1646" s="1545"/>
      <c r="G1646" s="1459"/>
      <c r="H1646" s="1557"/>
      <c r="J1646" s="1548"/>
      <c r="K1646" s="1591"/>
    </row>
    <row r="1647" spans="1:11" s="1541" customFormat="1" ht="25.5">
      <c r="A1647" s="1518"/>
      <c r="B1647" s="1518"/>
      <c r="C1647" s="1522"/>
      <c r="D1647" s="1554" t="s">
        <v>5363</v>
      </c>
      <c r="E1647" s="1545"/>
      <c r="F1647" s="1545"/>
      <c r="G1647" s="1459"/>
      <c r="H1647" s="1557"/>
      <c r="J1647" s="1548"/>
      <c r="K1647" s="1591"/>
    </row>
    <row r="1648" spans="1:11" s="1541" customFormat="1" ht="38.25">
      <c r="A1648" s="1518"/>
      <c r="B1648" s="1518"/>
      <c r="C1648" s="1522"/>
      <c r="D1648" s="1554" t="s">
        <v>5364</v>
      </c>
      <c r="E1648" s="1545"/>
      <c r="F1648" s="1545"/>
      <c r="G1648" s="1459"/>
      <c r="H1648" s="1557"/>
      <c r="J1648" s="1548"/>
      <c r="K1648" s="1591"/>
    </row>
    <row r="1649" spans="1:11" s="1541" customFormat="1">
      <c r="A1649" s="1518"/>
      <c r="B1649" s="1518"/>
      <c r="C1649" s="1522"/>
      <c r="D1649" s="1554" t="s">
        <v>5350</v>
      </c>
      <c r="E1649" s="1545"/>
      <c r="F1649" s="1594"/>
      <c r="G1649" s="1459"/>
      <c r="H1649" s="1557"/>
      <c r="J1649" s="1548"/>
      <c r="K1649" s="1591"/>
    </row>
    <row r="1650" spans="1:11" s="1541" customFormat="1">
      <c r="A1650" s="1518"/>
      <c r="B1650" s="1518"/>
      <c r="C1650" s="1563" t="s">
        <v>4799</v>
      </c>
      <c r="D1650" s="1554" t="s">
        <v>5351</v>
      </c>
      <c r="E1650" s="1545"/>
      <c r="F1650" s="1594"/>
      <c r="G1650" s="1459"/>
      <c r="H1650" s="1557"/>
      <c r="J1650" s="1548"/>
      <c r="K1650" s="1591"/>
    </row>
    <row r="1651" spans="1:11" s="1541" customFormat="1">
      <c r="A1651" s="1518"/>
      <c r="B1651" s="1518"/>
      <c r="C1651" s="1563" t="s">
        <v>4799</v>
      </c>
      <c r="D1651" s="1554" t="s">
        <v>5352</v>
      </c>
      <c r="E1651" s="1545"/>
      <c r="F1651" s="1594"/>
      <c r="G1651" s="1459"/>
      <c r="H1651" s="1557"/>
      <c r="J1651" s="1548"/>
      <c r="K1651" s="1591"/>
    </row>
    <row r="1652" spans="1:11" s="1541" customFormat="1">
      <c r="A1652" s="1518"/>
      <c r="B1652" s="1518"/>
      <c r="C1652" s="1563" t="s">
        <v>4799</v>
      </c>
      <c r="D1652" s="1554" t="s">
        <v>5353</v>
      </c>
      <c r="E1652" s="1545"/>
      <c r="F1652" s="1594"/>
      <c r="G1652" s="1459"/>
      <c r="H1652" s="1557"/>
      <c r="J1652" s="1548"/>
      <c r="K1652" s="1591"/>
    </row>
    <row r="1653" spans="1:11" s="1541" customFormat="1" ht="25.5">
      <c r="A1653" s="1518"/>
      <c r="B1653" s="1518"/>
      <c r="C1653" s="1563" t="s">
        <v>4799</v>
      </c>
      <c r="D1653" s="1554" t="s">
        <v>5354</v>
      </c>
      <c r="E1653" s="1545"/>
      <c r="F1653" s="1594"/>
      <c r="G1653" s="1459"/>
      <c r="H1653" s="1557"/>
      <c r="J1653" s="1548"/>
      <c r="K1653" s="1591"/>
    </row>
    <row r="1654" spans="1:11" s="1541" customFormat="1">
      <c r="A1654" s="1518"/>
      <c r="B1654" s="1518"/>
      <c r="C1654" s="1563" t="s">
        <v>4799</v>
      </c>
      <c r="D1654" s="1554" t="s">
        <v>5355</v>
      </c>
      <c r="E1654" s="1545"/>
      <c r="F1654" s="1594"/>
      <c r="G1654" s="1459"/>
      <c r="H1654" s="1557"/>
      <c r="J1654" s="1548"/>
      <c r="K1654" s="1591"/>
    </row>
    <row r="1655" spans="1:11" s="1541" customFormat="1" ht="38.25">
      <c r="A1655" s="1518"/>
      <c r="B1655" s="1518"/>
      <c r="C1655" s="1522"/>
      <c r="D1655" s="1554" t="s">
        <v>5365</v>
      </c>
      <c r="E1655" s="1545"/>
      <c r="F1655" s="1545"/>
      <c r="G1655" s="1459"/>
      <c r="H1655" s="1557"/>
      <c r="J1655" s="1548"/>
      <c r="K1655" s="1591"/>
    </row>
    <row r="1656" spans="1:11" s="1541" customFormat="1" ht="25.5">
      <c r="A1656" s="1518"/>
      <c r="B1656" s="1518"/>
      <c r="C1656" s="1522"/>
      <c r="D1656" s="1554" t="s">
        <v>5366</v>
      </c>
      <c r="E1656" s="1545"/>
      <c r="F1656" s="1545"/>
      <c r="G1656" s="1459"/>
      <c r="H1656" s="1557"/>
      <c r="J1656" s="1548"/>
      <c r="K1656" s="1591"/>
    </row>
    <row r="1657" spans="1:11" s="1541" customFormat="1">
      <c r="A1657" s="1518"/>
      <c r="B1657" s="1518"/>
      <c r="C1657" s="1563"/>
      <c r="D1657" s="1554" t="s">
        <v>5359</v>
      </c>
      <c r="E1657" s="1545"/>
      <c r="F1657" s="1545"/>
      <c r="G1657" s="1459"/>
      <c r="H1657" s="1557"/>
      <c r="J1657" s="1548"/>
      <c r="K1657" s="1591"/>
    </row>
    <row r="1658" spans="1:11" s="1541" customFormat="1">
      <c r="A1658" s="1518"/>
      <c r="B1658" s="1518"/>
      <c r="C1658" s="1522" t="s">
        <v>55</v>
      </c>
      <c r="D1658" s="1516" t="s">
        <v>5367</v>
      </c>
      <c r="E1658" s="1545" t="s">
        <v>2243</v>
      </c>
      <c r="F1658" s="1545">
        <v>3</v>
      </c>
      <c r="G1658" s="1461"/>
      <c r="H1658" s="1557">
        <f>SUM(F1658*G1658)</f>
        <v>0</v>
      </c>
      <c r="J1658" s="1548"/>
      <c r="K1658" s="1591"/>
    </row>
    <row r="1659" spans="1:11" s="1541" customFormat="1">
      <c r="A1659" s="1518"/>
      <c r="B1659" s="1518"/>
      <c r="C1659" s="1522"/>
      <c r="D1659" s="1516"/>
      <c r="E1659" s="1545"/>
      <c r="F1659" s="1545"/>
      <c r="G1659" s="1459"/>
      <c r="H1659" s="1557"/>
      <c r="J1659" s="1548"/>
      <c r="K1659" s="1591"/>
    </row>
    <row r="1660" spans="1:11" s="1541" customFormat="1" ht="25.5">
      <c r="A1660" s="1518" t="str">
        <f>A1644</f>
        <v>H.</v>
      </c>
      <c r="B1660" s="1518" t="str">
        <f t="shared" ref="B1660" si="54">B1644</f>
        <v>3.</v>
      </c>
      <c r="C1660" s="1518">
        <f>C1644+1</f>
        <v>124</v>
      </c>
      <c r="D1660" s="1554" t="s">
        <v>5368</v>
      </c>
      <c r="E1660" s="1545"/>
      <c r="F1660" s="1594"/>
      <c r="G1660" s="1459"/>
      <c r="H1660" s="1557"/>
      <c r="J1660" s="1548"/>
      <c r="K1660" s="1591"/>
    </row>
    <row r="1661" spans="1:11" s="1541" customFormat="1" ht="89.25">
      <c r="A1661" s="1518"/>
      <c r="B1661" s="1518"/>
      <c r="C1661" s="1522"/>
      <c r="D1661" s="1554" t="s">
        <v>5369</v>
      </c>
      <c r="E1661" s="1545"/>
      <c r="F1661" s="1545"/>
      <c r="G1661" s="1459"/>
      <c r="H1661" s="1557"/>
      <c r="J1661" s="1548"/>
      <c r="K1661" s="1591"/>
    </row>
    <row r="1662" spans="1:11" s="1541" customFormat="1">
      <c r="A1662" s="1518"/>
      <c r="B1662" s="1518"/>
      <c r="C1662" s="1522"/>
      <c r="D1662" s="1554" t="s">
        <v>5347</v>
      </c>
      <c r="E1662" s="1545"/>
      <c r="F1662" s="1545"/>
      <c r="G1662" s="1459"/>
      <c r="H1662" s="1557"/>
      <c r="J1662" s="1548"/>
      <c r="K1662" s="1591"/>
    </row>
    <row r="1663" spans="1:11" s="1541" customFormat="1" ht="25.5">
      <c r="A1663" s="1518"/>
      <c r="B1663" s="1518"/>
      <c r="C1663" s="1522"/>
      <c r="D1663" s="1554" t="s">
        <v>5363</v>
      </c>
      <c r="E1663" s="1545"/>
      <c r="F1663" s="1545"/>
      <c r="G1663" s="1459"/>
      <c r="H1663" s="1557"/>
      <c r="J1663" s="1548"/>
      <c r="K1663" s="1591"/>
    </row>
    <row r="1664" spans="1:11" s="1541" customFormat="1" ht="38.25">
      <c r="A1664" s="1518"/>
      <c r="B1664" s="1518"/>
      <c r="C1664" s="1522"/>
      <c r="D1664" s="1554" t="s">
        <v>5364</v>
      </c>
      <c r="E1664" s="1545"/>
      <c r="F1664" s="1545"/>
      <c r="G1664" s="1459"/>
      <c r="H1664" s="1557"/>
      <c r="J1664" s="1548"/>
      <c r="K1664" s="1591"/>
    </row>
    <row r="1665" spans="1:11" s="1541" customFormat="1">
      <c r="A1665" s="1518"/>
      <c r="B1665" s="1518"/>
      <c r="C1665" s="1522"/>
      <c r="D1665" s="1554" t="s">
        <v>5350</v>
      </c>
      <c r="E1665" s="1545"/>
      <c r="F1665" s="1594"/>
      <c r="G1665" s="1459"/>
      <c r="H1665" s="1557"/>
      <c r="J1665" s="1548"/>
      <c r="K1665" s="1591"/>
    </row>
    <row r="1666" spans="1:11" s="1541" customFormat="1">
      <c r="A1666" s="1518"/>
      <c r="B1666" s="1518"/>
      <c r="C1666" s="1563" t="s">
        <v>4799</v>
      </c>
      <c r="D1666" s="1554" t="s">
        <v>5351</v>
      </c>
      <c r="E1666" s="1545"/>
      <c r="F1666" s="1594"/>
      <c r="G1666" s="1459"/>
      <c r="H1666" s="1557"/>
      <c r="J1666" s="1548"/>
      <c r="K1666" s="1591"/>
    </row>
    <row r="1667" spans="1:11" s="1541" customFormat="1">
      <c r="A1667" s="1518"/>
      <c r="B1667" s="1518"/>
      <c r="C1667" s="1563" t="s">
        <v>4799</v>
      </c>
      <c r="D1667" s="1554" t="s">
        <v>5352</v>
      </c>
      <c r="E1667" s="1545"/>
      <c r="F1667" s="1594"/>
      <c r="G1667" s="1459"/>
      <c r="H1667" s="1557"/>
      <c r="J1667" s="1548"/>
      <c r="K1667" s="1591"/>
    </row>
    <row r="1668" spans="1:11" s="1541" customFormat="1">
      <c r="A1668" s="1518"/>
      <c r="B1668" s="1518"/>
      <c r="C1668" s="1563" t="s">
        <v>4799</v>
      </c>
      <c r="D1668" s="1554" t="s">
        <v>5353</v>
      </c>
      <c r="E1668" s="1545"/>
      <c r="F1668" s="1594"/>
      <c r="G1668" s="1459"/>
      <c r="H1668" s="1557"/>
      <c r="J1668" s="1548"/>
      <c r="K1668" s="1591"/>
    </row>
    <row r="1669" spans="1:11" s="1541" customFormat="1" ht="25.5">
      <c r="A1669" s="1518"/>
      <c r="B1669" s="1518"/>
      <c r="C1669" s="1563" t="s">
        <v>4799</v>
      </c>
      <c r="D1669" s="1554" t="s">
        <v>5354</v>
      </c>
      <c r="E1669" s="1545"/>
      <c r="F1669" s="1594"/>
      <c r="G1669" s="1459"/>
      <c r="H1669" s="1557"/>
      <c r="J1669" s="1548"/>
      <c r="K1669" s="1591"/>
    </row>
    <row r="1670" spans="1:11" s="1541" customFormat="1">
      <c r="A1670" s="1518"/>
      <c r="B1670" s="1518"/>
      <c r="C1670" s="1563" t="s">
        <v>4799</v>
      </c>
      <c r="D1670" s="1554" t="s">
        <v>5355</v>
      </c>
      <c r="E1670" s="1545"/>
      <c r="F1670" s="1594"/>
      <c r="G1670" s="1459"/>
      <c r="H1670" s="1557"/>
      <c r="J1670" s="1548"/>
      <c r="K1670" s="1591"/>
    </row>
    <row r="1671" spans="1:11" s="1541" customFormat="1" ht="38.25">
      <c r="A1671" s="1518"/>
      <c r="B1671" s="1518"/>
      <c r="C1671" s="1522"/>
      <c r="D1671" s="1554" t="s">
        <v>5356</v>
      </c>
      <c r="E1671" s="1545"/>
      <c r="F1671" s="1545"/>
      <c r="G1671" s="1459"/>
      <c r="H1671" s="1557"/>
      <c r="J1671" s="1548"/>
      <c r="K1671" s="1591"/>
    </row>
    <row r="1672" spans="1:11" s="1541" customFormat="1" ht="25.5">
      <c r="A1672" s="1518"/>
      <c r="B1672" s="1518"/>
      <c r="C1672" s="1522"/>
      <c r="D1672" s="1554" t="s">
        <v>5366</v>
      </c>
      <c r="E1672" s="1545"/>
      <c r="F1672" s="1545"/>
      <c r="G1672" s="1459"/>
      <c r="H1672" s="1557"/>
      <c r="J1672" s="1548"/>
      <c r="K1672" s="1591"/>
    </row>
    <row r="1673" spans="1:11" s="1541" customFormat="1">
      <c r="A1673" s="1518"/>
      <c r="B1673" s="1518"/>
      <c r="C1673" s="1563"/>
      <c r="D1673" s="1554" t="s">
        <v>5359</v>
      </c>
      <c r="E1673" s="1545"/>
      <c r="F1673" s="1545"/>
      <c r="G1673" s="1459"/>
      <c r="H1673" s="1557"/>
      <c r="J1673" s="1548"/>
      <c r="K1673" s="1591"/>
    </row>
    <row r="1674" spans="1:11" s="1541" customFormat="1">
      <c r="A1674" s="1518"/>
      <c r="B1674" s="1518"/>
      <c r="C1674" s="1522" t="s">
        <v>55</v>
      </c>
      <c r="D1674" s="1516" t="s">
        <v>5370</v>
      </c>
      <c r="E1674" s="1545" t="s">
        <v>2243</v>
      </c>
      <c r="F1674" s="1545">
        <v>2</v>
      </c>
      <c r="G1674" s="1461"/>
      <c r="H1674" s="1557">
        <f>SUM(F1674*G1674)</f>
        <v>0</v>
      </c>
      <c r="J1674" s="1548"/>
      <c r="K1674" s="1591"/>
    </row>
    <row r="1675" spans="1:11" s="1541" customFormat="1">
      <c r="A1675" s="1518"/>
      <c r="B1675" s="1518"/>
      <c r="C1675" s="1522"/>
      <c r="D1675" s="1516"/>
      <c r="E1675" s="1545"/>
      <c r="F1675" s="1545"/>
      <c r="G1675" s="1459"/>
      <c r="H1675" s="1557"/>
      <c r="J1675" s="1548"/>
      <c r="K1675" s="1591"/>
    </row>
    <row r="1676" spans="1:11" s="1541" customFormat="1" ht="25.5">
      <c r="A1676" s="1518" t="str">
        <f>A1660</f>
        <v>H.</v>
      </c>
      <c r="B1676" s="1518" t="str">
        <f t="shared" ref="B1676" si="55">B1660</f>
        <v>3.</v>
      </c>
      <c r="C1676" s="1518">
        <f>C1660+1</f>
        <v>125</v>
      </c>
      <c r="D1676" s="1554" t="s">
        <v>5371</v>
      </c>
      <c r="E1676" s="1545"/>
      <c r="F1676" s="1594"/>
      <c r="G1676" s="1459"/>
      <c r="H1676" s="1557"/>
      <c r="J1676" s="1548"/>
      <c r="K1676" s="1591"/>
    </row>
    <row r="1677" spans="1:11" s="1541" customFormat="1" ht="89.25">
      <c r="A1677" s="1518"/>
      <c r="B1677" s="1518"/>
      <c r="C1677" s="1522"/>
      <c r="D1677" s="1554" t="s">
        <v>5372</v>
      </c>
      <c r="E1677" s="1545"/>
      <c r="F1677" s="1545"/>
      <c r="G1677" s="1459"/>
      <c r="H1677" s="1557"/>
      <c r="J1677" s="1548"/>
      <c r="K1677" s="1591"/>
    </row>
    <row r="1678" spans="1:11" s="1541" customFormat="1">
      <c r="A1678" s="1518"/>
      <c r="B1678" s="1518"/>
      <c r="C1678" s="1522"/>
      <c r="D1678" s="1554" t="s">
        <v>5347</v>
      </c>
      <c r="E1678" s="1545"/>
      <c r="F1678" s="1545"/>
      <c r="G1678" s="1459"/>
      <c r="H1678" s="1557"/>
      <c r="J1678" s="1548"/>
      <c r="K1678" s="1591"/>
    </row>
    <row r="1679" spans="1:11" s="1541" customFormat="1" ht="25.5">
      <c r="A1679" s="1518"/>
      <c r="B1679" s="1518"/>
      <c r="C1679" s="1522"/>
      <c r="D1679" s="1554" t="s">
        <v>5363</v>
      </c>
      <c r="E1679" s="1545"/>
      <c r="F1679" s="1545"/>
      <c r="G1679" s="1459"/>
      <c r="H1679" s="1557"/>
      <c r="J1679" s="1548"/>
      <c r="K1679" s="1591"/>
    </row>
    <row r="1680" spans="1:11" s="1541" customFormat="1" ht="38.25">
      <c r="A1680" s="1518"/>
      <c r="B1680" s="1518"/>
      <c r="C1680" s="1522"/>
      <c r="D1680" s="1554" t="s">
        <v>5364</v>
      </c>
      <c r="E1680" s="1545"/>
      <c r="F1680" s="1545"/>
      <c r="G1680" s="1459"/>
      <c r="H1680" s="1557"/>
      <c r="J1680" s="1548"/>
      <c r="K1680" s="1591"/>
    </row>
    <row r="1681" spans="1:11" s="1541" customFormat="1">
      <c r="A1681" s="1518"/>
      <c r="B1681" s="1518"/>
      <c r="C1681" s="1522"/>
      <c r="D1681" s="1554" t="s">
        <v>5350</v>
      </c>
      <c r="E1681" s="1545"/>
      <c r="F1681" s="1594"/>
      <c r="G1681" s="1459"/>
      <c r="H1681" s="1557"/>
      <c r="J1681" s="1548"/>
      <c r="K1681" s="1591"/>
    </row>
    <row r="1682" spans="1:11" s="1541" customFormat="1">
      <c r="A1682" s="1518"/>
      <c r="B1682" s="1518"/>
      <c r="C1682" s="1563" t="s">
        <v>4799</v>
      </c>
      <c r="D1682" s="1554" t="s">
        <v>5351</v>
      </c>
      <c r="E1682" s="1545"/>
      <c r="F1682" s="1594"/>
      <c r="G1682" s="1459"/>
      <c r="H1682" s="1557"/>
      <c r="J1682" s="1548"/>
      <c r="K1682" s="1591"/>
    </row>
    <row r="1683" spans="1:11" s="1541" customFormat="1">
      <c r="A1683" s="1518"/>
      <c r="B1683" s="1518"/>
      <c r="C1683" s="1563" t="s">
        <v>4799</v>
      </c>
      <c r="D1683" s="1554" t="s">
        <v>5352</v>
      </c>
      <c r="E1683" s="1545"/>
      <c r="F1683" s="1594"/>
      <c r="G1683" s="1459"/>
      <c r="H1683" s="1557"/>
      <c r="J1683" s="1548"/>
      <c r="K1683" s="1591"/>
    </row>
    <row r="1684" spans="1:11" s="1541" customFormat="1">
      <c r="A1684" s="1518"/>
      <c r="B1684" s="1518"/>
      <c r="C1684" s="1563" t="s">
        <v>4799</v>
      </c>
      <c r="D1684" s="1554" t="s">
        <v>5353</v>
      </c>
      <c r="E1684" s="1545"/>
      <c r="F1684" s="1594"/>
      <c r="G1684" s="1459"/>
      <c r="H1684" s="1557"/>
      <c r="J1684" s="1548"/>
      <c r="K1684" s="1591"/>
    </row>
    <row r="1685" spans="1:11" s="1541" customFormat="1" ht="25.5">
      <c r="A1685" s="1518"/>
      <c r="B1685" s="1518"/>
      <c r="C1685" s="1563" t="s">
        <v>4799</v>
      </c>
      <c r="D1685" s="1554" t="s">
        <v>5354</v>
      </c>
      <c r="E1685" s="1545"/>
      <c r="F1685" s="1594"/>
      <c r="G1685" s="1459"/>
      <c r="H1685" s="1557"/>
      <c r="J1685" s="1548"/>
      <c r="K1685" s="1591"/>
    </row>
    <row r="1686" spans="1:11" s="1541" customFormat="1">
      <c r="A1686" s="1518"/>
      <c r="B1686" s="1518"/>
      <c r="C1686" s="1563" t="s">
        <v>4799</v>
      </c>
      <c r="D1686" s="1554" t="s">
        <v>5355</v>
      </c>
      <c r="E1686" s="1545"/>
      <c r="F1686" s="1594"/>
      <c r="G1686" s="1459"/>
      <c r="H1686" s="1557"/>
      <c r="J1686" s="1548"/>
      <c r="K1686" s="1591"/>
    </row>
    <row r="1687" spans="1:11" s="1541" customFormat="1" ht="38.25">
      <c r="A1687" s="1518"/>
      <c r="B1687" s="1518"/>
      <c r="C1687" s="1522"/>
      <c r="D1687" s="1554" t="s">
        <v>5356</v>
      </c>
      <c r="E1687" s="1545"/>
      <c r="F1687" s="1545"/>
      <c r="G1687" s="1459"/>
      <c r="H1687" s="1557"/>
      <c r="J1687" s="1548"/>
      <c r="K1687" s="1591"/>
    </row>
    <row r="1688" spans="1:11" s="1541" customFormat="1" ht="25.5">
      <c r="A1688" s="1518"/>
      <c r="B1688" s="1518"/>
      <c r="C1688" s="1522"/>
      <c r="D1688" s="1554" t="s">
        <v>5366</v>
      </c>
      <c r="E1688" s="1545"/>
      <c r="F1688" s="1545"/>
      <c r="G1688" s="1459"/>
      <c r="H1688" s="1557"/>
      <c r="J1688" s="1548"/>
      <c r="K1688" s="1591"/>
    </row>
    <row r="1689" spans="1:11" s="1541" customFormat="1">
      <c r="A1689" s="1518"/>
      <c r="B1689" s="1518"/>
      <c r="C1689" s="1563"/>
      <c r="D1689" s="1554" t="s">
        <v>5359</v>
      </c>
      <c r="E1689" s="1545"/>
      <c r="F1689" s="1545"/>
      <c r="G1689" s="1459"/>
      <c r="H1689" s="1557"/>
      <c r="J1689" s="1548"/>
      <c r="K1689" s="1591"/>
    </row>
    <row r="1690" spans="1:11" s="1541" customFormat="1">
      <c r="A1690" s="1518"/>
      <c r="B1690" s="1518"/>
      <c r="C1690" s="1522" t="s">
        <v>55</v>
      </c>
      <c r="D1690" s="1516" t="s">
        <v>5373</v>
      </c>
      <c r="E1690" s="1545" t="s">
        <v>2243</v>
      </c>
      <c r="F1690" s="1545">
        <v>3</v>
      </c>
      <c r="G1690" s="1461"/>
      <c r="H1690" s="1557">
        <f>SUM(F1690*G1690)</f>
        <v>0</v>
      </c>
      <c r="J1690" s="1548"/>
      <c r="K1690" s="1591"/>
    </row>
    <row r="1691" spans="1:11" s="1541" customFormat="1">
      <c r="A1691" s="1518"/>
      <c r="B1691" s="1518"/>
      <c r="C1691" s="1522"/>
      <c r="D1691" s="1554"/>
      <c r="E1691" s="1545"/>
      <c r="F1691" s="1545"/>
      <c r="G1691" s="1459"/>
      <c r="H1691" s="1557"/>
      <c r="J1691" s="1548"/>
      <c r="K1691" s="1591"/>
    </row>
    <row r="1692" spans="1:11" s="1541" customFormat="1">
      <c r="A1692" s="1518" t="str">
        <f>A1676</f>
        <v>H.</v>
      </c>
      <c r="B1692" s="1518" t="str">
        <f t="shared" ref="B1692" si="56">B1676</f>
        <v>3.</v>
      </c>
      <c r="C1692" s="1518">
        <f>C1676+1</f>
        <v>126</v>
      </c>
      <c r="D1692" s="1554" t="s">
        <v>5374</v>
      </c>
      <c r="E1692" s="1545" t="s">
        <v>34</v>
      </c>
      <c r="F1692" s="1545">
        <v>540</v>
      </c>
      <c r="G1692" s="1461"/>
      <c r="H1692" s="1557">
        <f>SUM(F1692*G1692)</f>
        <v>0</v>
      </c>
      <c r="J1692" s="1548"/>
      <c r="K1692" s="1591"/>
    </row>
    <row r="1693" spans="1:11" s="1541" customFormat="1">
      <c r="A1693" s="1518"/>
      <c r="B1693" s="1518"/>
      <c r="C1693" s="1522"/>
      <c r="D1693" s="1554"/>
      <c r="E1693" s="1545"/>
      <c r="F1693" s="1545"/>
      <c r="G1693" s="1459"/>
      <c r="H1693" s="1557"/>
      <c r="J1693" s="1548"/>
      <c r="K1693" s="1591"/>
    </row>
    <row r="1694" spans="1:11" s="1541" customFormat="1">
      <c r="A1694" s="1518" t="str">
        <f>A1692</f>
        <v>H.</v>
      </c>
      <c r="B1694" s="1518" t="str">
        <f t="shared" ref="B1694:B1706" si="57">B1692</f>
        <v>3.</v>
      </c>
      <c r="C1694" s="1518">
        <f>C1692+1</f>
        <v>127</v>
      </c>
      <c r="D1694" s="1554" t="s">
        <v>5375</v>
      </c>
      <c r="E1694" s="1545" t="s">
        <v>34</v>
      </c>
      <c r="F1694" s="1545">
        <f>F1692</f>
        <v>540</v>
      </c>
      <c r="G1694" s="1461"/>
      <c r="H1694" s="1557">
        <f>SUM(F1694*G1694)</f>
        <v>0</v>
      </c>
      <c r="J1694" s="1548"/>
      <c r="K1694" s="1591"/>
    </row>
    <row r="1695" spans="1:11" s="1541" customFormat="1">
      <c r="A1695" s="1518"/>
      <c r="B1695" s="1518"/>
      <c r="C1695" s="1522"/>
      <c r="D1695" s="1554"/>
      <c r="E1695" s="1545"/>
      <c r="F1695" s="1545"/>
      <c r="G1695" s="1459"/>
      <c r="H1695" s="1557"/>
      <c r="J1695" s="1548"/>
      <c r="K1695" s="1591"/>
    </row>
    <row r="1696" spans="1:11" s="1541" customFormat="1" ht="25.5">
      <c r="A1696" s="1518" t="str">
        <f>A1694</f>
        <v>H.</v>
      </c>
      <c r="B1696" s="1518" t="str">
        <f t="shared" si="57"/>
        <v>3.</v>
      </c>
      <c r="C1696" s="1518">
        <f>C1694+1</f>
        <v>128</v>
      </c>
      <c r="D1696" s="1554" t="s">
        <v>5376</v>
      </c>
      <c r="E1696" s="1545" t="s">
        <v>34</v>
      </c>
      <c r="F1696" s="1545">
        <f>F1694</f>
        <v>540</v>
      </c>
      <c r="G1696" s="1461"/>
      <c r="H1696" s="1557">
        <f>SUM(F1696*G1696)</f>
        <v>0</v>
      </c>
      <c r="J1696" s="1548"/>
      <c r="K1696" s="1591"/>
    </row>
    <row r="1697" spans="1:11" s="1541" customFormat="1">
      <c r="A1697" s="1518"/>
      <c r="B1697" s="1518"/>
      <c r="C1697" s="1522"/>
      <c r="D1697" s="1554"/>
      <c r="E1697" s="1545"/>
      <c r="F1697" s="1594"/>
      <c r="G1697" s="1459"/>
      <c r="H1697" s="1557"/>
      <c r="J1697" s="1548"/>
      <c r="K1697" s="1591"/>
    </row>
    <row r="1698" spans="1:11" s="1541" customFormat="1" ht="51">
      <c r="A1698" s="1518" t="str">
        <f>A1696</f>
        <v>H.</v>
      </c>
      <c r="B1698" s="1518" t="str">
        <f t="shared" si="57"/>
        <v>3.</v>
      </c>
      <c r="C1698" s="1518">
        <f>C1696+1</f>
        <v>129</v>
      </c>
      <c r="D1698" s="1554" t="s">
        <v>5377</v>
      </c>
      <c r="E1698" s="1545" t="s">
        <v>1160</v>
      </c>
      <c r="F1698" s="1594">
        <f>F1696*60</f>
        <v>32400</v>
      </c>
      <c r="G1698" s="1461"/>
      <c r="H1698" s="1557">
        <f>SUM(F1698*G1698)</f>
        <v>0</v>
      </c>
      <c r="J1698" s="1548"/>
      <c r="K1698" s="1591"/>
    </row>
    <row r="1699" spans="1:11" s="1541" customFormat="1">
      <c r="A1699" s="1518"/>
      <c r="B1699" s="1518"/>
      <c r="C1699" s="1522"/>
      <c r="D1699" s="1554"/>
      <c r="E1699" s="1545"/>
      <c r="F1699" s="1594"/>
      <c r="G1699" s="1459"/>
      <c r="H1699" s="1557"/>
      <c r="J1699" s="1548"/>
      <c r="K1699" s="1591"/>
    </row>
    <row r="1700" spans="1:11" s="1541" customFormat="1" ht="25.5">
      <c r="A1700" s="1518" t="str">
        <f>A1698</f>
        <v>H.</v>
      </c>
      <c r="B1700" s="1518" t="str">
        <f t="shared" si="57"/>
        <v>3.</v>
      </c>
      <c r="C1700" s="1518">
        <f>C1698+1</f>
        <v>130</v>
      </c>
      <c r="D1700" s="1598" t="s">
        <v>5378</v>
      </c>
      <c r="E1700" s="1545" t="s">
        <v>1160</v>
      </c>
      <c r="F1700" s="1594">
        <v>540</v>
      </c>
      <c r="G1700" s="1461"/>
      <c r="H1700" s="1557">
        <f>SUM(F1700*G1700)</f>
        <v>0</v>
      </c>
      <c r="J1700" s="1548"/>
      <c r="K1700" s="1591"/>
    </row>
    <row r="1701" spans="1:11" s="1541" customFormat="1">
      <c r="A1701" s="1518"/>
      <c r="B1701" s="1518"/>
      <c r="C1701" s="1522"/>
      <c r="D1701" s="1554"/>
      <c r="E1701" s="1545"/>
      <c r="F1701" s="1594"/>
      <c r="G1701" s="1459"/>
      <c r="H1701" s="1557"/>
      <c r="J1701" s="1548"/>
      <c r="K1701" s="1591"/>
    </row>
    <row r="1702" spans="1:11" s="1541" customFormat="1">
      <c r="A1702" s="1518" t="str">
        <f>A1700</f>
        <v>H.</v>
      </c>
      <c r="B1702" s="1518" t="str">
        <f t="shared" si="57"/>
        <v>3.</v>
      </c>
      <c r="C1702" s="1518">
        <f>C1700+1</f>
        <v>131</v>
      </c>
      <c r="D1702" s="1554" t="s">
        <v>5379</v>
      </c>
      <c r="E1702" s="1545" t="s">
        <v>34</v>
      </c>
      <c r="F1702" s="1545">
        <v>540</v>
      </c>
      <c r="G1702" s="1461"/>
      <c r="H1702" s="1557">
        <f>SUM(F1702*G1702)</f>
        <v>0</v>
      </c>
      <c r="J1702" s="1548"/>
      <c r="K1702" s="1591"/>
    </row>
    <row r="1703" spans="1:11" s="1541" customFormat="1">
      <c r="A1703" s="1518"/>
      <c r="B1703" s="1518"/>
      <c r="C1703" s="1522"/>
      <c r="D1703" s="1554"/>
      <c r="E1703" s="1545"/>
      <c r="F1703" s="1594"/>
      <c r="G1703" s="1459"/>
      <c r="H1703" s="1557"/>
      <c r="J1703" s="1548"/>
      <c r="K1703" s="1591"/>
    </row>
    <row r="1704" spans="1:11" s="1541" customFormat="1" ht="114.75">
      <c r="A1704" s="1518" t="str">
        <f>A1702</f>
        <v>H.</v>
      </c>
      <c r="B1704" s="1518" t="str">
        <f t="shared" si="57"/>
        <v>3.</v>
      </c>
      <c r="C1704" s="1518">
        <f>C1702+1</f>
        <v>132</v>
      </c>
      <c r="D1704" s="1554" t="s">
        <v>5380</v>
      </c>
      <c r="E1704" s="1545" t="s">
        <v>2243</v>
      </c>
      <c r="F1704" s="1545">
        <v>1</v>
      </c>
      <c r="G1704" s="1461"/>
      <c r="H1704" s="1557">
        <f>SUM(F1704*G1704)</f>
        <v>0</v>
      </c>
      <c r="J1704" s="1548"/>
      <c r="K1704" s="1591"/>
    </row>
    <row r="1705" spans="1:11" s="1541" customFormat="1">
      <c r="A1705" s="1518"/>
      <c r="B1705" s="1518"/>
      <c r="C1705" s="1522"/>
      <c r="D1705" s="1554"/>
      <c r="E1705" s="1545"/>
      <c r="F1705" s="1545"/>
      <c r="G1705" s="1459"/>
      <c r="H1705" s="1557"/>
      <c r="J1705" s="1548"/>
      <c r="K1705" s="1591"/>
    </row>
    <row r="1706" spans="1:11" s="1541" customFormat="1" ht="63.75">
      <c r="A1706" s="1518" t="str">
        <f>A1704</f>
        <v>H.</v>
      </c>
      <c r="B1706" s="1518" t="str">
        <f t="shared" si="57"/>
        <v>3.</v>
      </c>
      <c r="C1706" s="1518">
        <f>C1704+1</f>
        <v>133</v>
      </c>
      <c r="D1706" s="1598" t="s">
        <v>5381</v>
      </c>
      <c r="E1706" s="1545" t="s">
        <v>2243</v>
      </c>
      <c r="F1706" s="1545">
        <v>1</v>
      </c>
      <c r="G1706" s="1461"/>
      <c r="H1706" s="1557">
        <f>SUM(F1706*G1706)</f>
        <v>0</v>
      </c>
      <c r="J1706" s="1548"/>
      <c r="K1706" s="1591"/>
    </row>
    <row r="1707" spans="1:11" s="1541" customFormat="1">
      <c r="A1707" s="1518"/>
      <c r="B1707" s="1518"/>
      <c r="C1707" s="1522"/>
      <c r="D1707" s="1554"/>
      <c r="E1707" s="1545"/>
      <c r="F1707" s="1594"/>
      <c r="G1707" s="1459"/>
      <c r="H1707" s="1557"/>
      <c r="J1707" s="1548"/>
      <c r="K1707" s="1591"/>
    </row>
    <row r="1708" spans="1:11" s="1541" customFormat="1">
      <c r="A1708" s="1518"/>
      <c r="B1708" s="1518"/>
      <c r="C1708" s="1519" t="s">
        <v>4635</v>
      </c>
      <c r="D1708" s="1516" t="s">
        <v>5382</v>
      </c>
      <c r="E1708" s="1545"/>
      <c r="F1708" s="1594"/>
      <c r="G1708" s="1459"/>
      <c r="H1708" s="1557"/>
      <c r="J1708" s="1548"/>
      <c r="K1708" s="1591"/>
    </row>
    <row r="1709" spans="1:11" s="1541" customFormat="1">
      <c r="A1709" s="1518"/>
      <c r="B1709" s="1518"/>
      <c r="C1709" s="1522"/>
      <c r="D1709" s="1554"/>
      <c r="E1709" s="1545"/>
      <c r="F1709" s="1594"/>
      <c r="G1709" s="1459"/>
      <c r="H1709" s="1557"/>
      <c r="J1709" s="1548"/>
      <c r="K1709" s="1591"/>
    </row>
    <row r="1710" spans="1:11" s="1541" customFormat="1" ht="51">
      <c r="A1710" s="1518" t="str">
        <f>A1706</f>
        <v>H.</v>
      </c>
      <c r="B1710" s="1518" t="str">
        <f t="shared" ref="B1710" si="58">B1706</f>
        <v>3.</v>
      </c>
      <c r="C1710" s="1518">
        <f>C1706+1</f>
        <v>134</v>
      </c>
      <c r="D1710" s="1554" t="s">
        <v>5383</v>
      </c>
      <c r="E1710" s="1545" t="s">
        <v>2243</v>
      </c>
      <c r="F1710" s="1545">
        <v>1</v>
      </c>
      <c r="G1710" s="1461"/>
      <c r="H1710" s="1557">
        <f>SUM(F1710*G1710)</f>
        <v>0</v>
      </c>
      <c r="J1710" s="1548"/>
      <c r="K1710" s="1591"/>
    </row>
    <row r="1711" spans="1:11" s="1541" customFormat="1">
      <c r="A1711" s="1518"/>
      <c r="B1711" s="1518"/>
      <c r="C1711" s="1518"/>
      <c r="D1711" s="1554" t="s">
        <v>5384</v>
      </c>
      <c r="E1711" s="1545"/>
      <c r="F1711" s="1594"/>
      <c r="G1711" s="1459"/>
      <c r="H1711" s="1557"/>
      <c r="J1711" s="1548"/>
      <c r="K1711" s="1591"/>
    </row>
    <row r="1712" spans="1:11" s="1541" customFormat="1" ht="331.5">
      <c r="A1712" s="1518"/>
      <c r="B1712" s="1518"/>
      <c r="C1712" s="1518"/>
      <c r="D1712" s="1554" t="s">
        <v>5385</v>
      </c>
      <c r="E1712" s="1545"/>
      <c r="F1712" s="1594"/>
      <c r="G1712" s="1459"/>
      <c r="H1712" s="1557"/>
      <c r="J1712" s="1548"/>
      <c r="K1712" s="1591"/>
    </row>
    <row r="1713" spans="1:11" s="1541" customFormat="1">
      <c r="A1713" s="1518"/>
      <c r="B1713" s="1518"/>
      <c r="C1713" s="1522"/>
      <c r="D1713" s="1572" t="s">
        <v>5386</v>
      </c>
      <c r="E1713" s="1545"/>
      <c r="F1713" s="1594"/>
      <c r="G1713" s="1459"/>
      <c r="H1713" s="1557"/>
      <c r="J1713" s="1548"/>
      <c r="K1713" s="1591"/>
    </row>
    <row r="1714" spans="1:11" s="1541" customFormat="1">
      <c r="A1714" s="1518"/>
      <c r="B1714" s="1518"/>
      <c r="C1714" s="1522"/>
      <c r="D1714" s="1554"/>
      <c r="E1714" s="1545"/>
      <c r="F1714" s="1594"/>
      <c r="G1714" s="1459"/>
      <c r="H1714" s="1557"/>
      <c r="J1714" s="1548"/>
      <c r="K1714" s="1591"/>
    </row>
    <row r="1715" spans="1:11" s="1541" customFormat="1" ht="38.25">
      <c r="A1715" s="1518" t="str">
        <f>A1710</f>
        <v>H.</v>
      </c>
      <c r="B1715" s="1518" t="str">
        <f t="shared" ref="B1715" si="59">B1710</f>
        <v>3.</v>
      </c>
      <c r="C1715" s="1518">
        <f>C1710+1</f>
        <v>135</v>
      </c>
      <c r="D1715" s="1554" t="s">
        <v>5387</v>
      </c>
      <c r="E1715" s="1545" t="s">
        <v>2243</v>
      </c>
      <c r="F1715" s="1545">
        <v>1</v>
      </c>
      <c r="G1715" s="1461"/>
      <c r="H1715" s="1557">
        <f>SUM(F1715*G1715)</f>
        <v>0</v>
      </c>
      <c r="J1715" s="1548"/>
      <c r="K1715" s="1591"/>
    </row>
    <row r="1716" spans="1:11" s="1541" customFormat="1">
      <c r="A1716" s="1518"/>
      <c r="B1716" s="1518"/>
      <c r="C1716" s="1518"/>
      <c r="D1716" s="1554" t="s">
        <v>5384</v>
      </c>
      <c r="E1716" s="1545"/>
      <c r="F1716" s="1594"/>
      <c r="G1716" s="1459"/>
      <c r="H1716" s="1557"/>
      <c r="J1716" s="1548"/>
      <c r="K1716" s="1591"/>
    </row>
    <row r="1717" spans="1:11" s="1541" customFormat="1" ht="153">
      <c r="A1717" s="1518"/>
      <c r="B1717" s="1518"/>
      <c r="C1717" s="1518"/>
      <c r="D1717" s="1554" t="s">
        <v>5388</v>
      </c>
      <c r="E1717" s="1545"/>
      <c r="F1717" s="1594"/>
      <c r="G1717" s="1459"/>
      <c r="H1717" s="1557"/>
      <c r="J1717" s="1548"/>
      <c r="K1717" s="1591"/>
    </row>
    <row r="1718" spans="1:11" s="1541" customFormat="1">
      <c r="A1718" s="1518"/>
      <c r="B1718" s="1518"/>
      <c r="C1718" s="1522"/>
      <c r="D1718" s="1572" t="s">
        <v>5386</v>
      </c>
      <c r="E1718" s="1545"/>
      <c r="F1718" s="1594"/>
      <c r="G1718" s="1459"/>
      <c r="H1718" s="1557"/>
      <c r="J1718" s="1548"/>
      <c r="K1718" s="1591"/>
    </row>
    <row r="1719" spans="1:11" s="1541" customFormat="1">
      <c r="A1719" s="1518"/>
      <c r="B1719" s="1518"/>
      <c r="C1719" s="1522"/>
      <c r="D1719" s="1554"/>
      <c r="E1719" s="1545"/>
      <c r="F1719" s="1594"/>
      <c r="G1719" s="1459"/>
      <c r="H1719" s="1557"/>
      <c r="J1719" s="1548"/>
      <c r="K1719" s="1591"/>
    </row>
    <row r="1720" spans="1:11" s="1541" customFormat="1" ht="38.25">
      <c r="A1720" s="1518" t="str">
        <f>A1715</f>
        <v>H.</v>
      </c>
      <c r="B1720" s="1518" t="str">
        <f t="shared" ref="B1720" si="60">B1715</f>
        <v>3.</v>
      </c>
      <c r="C1720" s="1518">
        <f>C1715+1</f>
        <v>136</v>
      </c>
      <c r="D1720" s="1554" t="s">
        <v>5389</v>
      </c>
      <c r="E1720" s="1545" t="s">
        <v>2243</v>
      </c>
      <c r="F1720" s="1545">
        <v>1</v>
      </c>
      <c r="G1720" s="1461"/>
      <c r="H1720" s="1557">
        <f>SUM(F1720*G1720)</f>
        <v>0</v>
      </c>
      <c r="J1720" s="1548"/>
      <c r="K1720" s="1591"/>
    </row>
    <row r="1721" spans="1:11" s="1541" customFormat="1">
      <c r="A1721" s="1518"/>
      <c r="B1721" s="1518"/>
      <c r="C1721" s="1518"/>
      <c r="D1721" s="1554" t="s">
        <v>5384</v>
      </c>
      <c r="E1721" s="1545"/>
      <c r="F1721" s="1594"/>
      <c r="G1721" s="1459"/>
      <c r="H1721" s="1557"/>
      <c r="J1721" s="1548"/>
      <c r="K1721" s="1591"/>
    </row>
    <row r="1722" spans="1:11" s="1541" customFormat="1" ht="114.75">
      <c r="A1722" s="1518"/>
      <c r="B1722" s="1518"/>
      <c r="C1722" s="1518"/>
      <c r="D1722" s="1554" t="s">
        <v>5390</v>
      </c>
      <c r="E1722" s="1545"/>
      <c r="F1722" s="1594"/>
      <c r="G1722" s="1459"/>
      <c r="H1722" s="1557"/>
      <c r="J1722" s="1548"/>
      <c r="K1722" s="1591"/>
    </row>
    <row r="1723" spans="1:11" s="1541" customFormat="1">
      <c r="A1723" s="1518"/>
      <c r="B1723" s="1518"/>
      <c r="C1723" s="1522"/>
      <c r="D1723" s="1572" t="s">
        <v>5386</v>
      </c>
      <c r="E1723" s="1545"/>
      <c r="F1723" s="1594"/>
      <c r="G1723" s="1459"/>
      <c r="H1723" s="1557"/>
      <c r="J1723" s="1548"/>
      <c r="K1723" s="1591"/>
    </row>
    <row r="1724" spans="1:11" s="1541" customFormat="1">
      <c r="A1724" s="1518"/>
      <c r="B1724" s="1518"/>
      <c r="C1724" s="1522"/>
      <c r="D1724" s="1554"/>
      <c r="E1724" s="1545"/>
      <c r="F1724" s="1594"/>
      <c r="G1724" s="1459"/>
      <c r="H1724" s="1557"/>
      <c r="J1724" s="1548"/>
      <c r="K1724" s="1591"/>
    </row>
    <row r="1725" spans="1:11" s="1541" customFormat="1" ht="38.25">
      <c r="A1725" s="1518" t="str">
        <f>A1720</f>
        <v>H.</v>
      </c>
      <c r="B1725" s="1518" t="str">
        <f t="shared" ref="B1725" si="61">B1720</f>
        <v>3.</v>
      </c>
      <c r="C1725" s="1518">
        <f>C1720+1</f>
        <v>137</v>
      </c>
      <c r="D1725" s="1554" t="s">
        <v>5391</v>
      </c>
      <c r="E1725" s="1545" t="s">
        <v>2243</v>
      </c>
      <c r="F1725" s="1545">
        <v>1</v>
      </c>
      <c r="G1725" s="1461"/>
      <c r="H1725" s="1557">
        <f>SUM(F1725*G1725)</f>
        <v>0</v>
      </c>
      <c r="J1725" s="1548"/>
      <c r="K1725" s="1591"/>
    </row>
    <row r="1726" spans="1:11" s="1541" customFormat="1">
      <c r="A1726" s="1518"/>
      <c r="B1726" s="1518"/>
      <c r="C1726" s="1518"/>
      <c r="D1726" s="1554" t="s">
        <v>5384</v>
      </c>
      <c r="E1726" s="1545"/>
      <c r="F1726" s="1594"/>
      <c r="G1726" s="1459"/>
      <c r="H1726" s="1557"/>
      <c r="J1726" s="1548"/>
      <c r="K1726" s="1591"/>
    </row>
    <row r="1727" spans="1:11" s="1541" customFormat="1" ht="76.5">
      <c r="A1727" s="1518"/>
      <c r="B1727" s="1518"/>
      <c r="C1727" s="1518"/>
      <c r="D1727" s="1554" t="s">
        <v>5392</v>
      </c>
      <c r="E1727" s="1545"/>
      <c r="F1727" s="1594"/>
      <c r="G1727" s="1459"/>
      <c r="H1727" s="1557"/>
      <c r="J1727" s="1548"/>
      <c r="K1727" s="1591"/>
    </row>
    <row r="1728" spans="1:11" s="1541" customFormat="1">
      <c r="A1728" s="1518"/>
      <c r="B1728" s="1518"/>
      <c r="C1728" s="1522"/>
      <c r="D1728" s="1554"/>
      <c r="E1728" s="1545"/>
      <c r="F1728" s="1594"/>
      <c r="G1728" s="1459"/>
      <c r="H1728" s="1557"/>
      <c r="J1728" s="1548"/>
      <c r="K1728" s="1591"/>
    </row>
    <row r="1729" spans="1:11" s="1541" customFormat="1" ht="38.25">
      <c r="A1729" s="1518" t="str">
        <f>A1725</f>
        <v>H.</v>
      </c>
      <c r="B1729" s="1518" t="str">
        <f t="shared" ref="B1729" si="62">B1725</f>
        <v>3.</v>
      </c>
      <c r="C1729" s="1518">
        <f>C1725+1</f>
        <v>138</v>
      </c>
      <c r="D1729" s="1554" t="s">
        <v>5393</v>
      </c>
      <c r="E1729" s="1545" t="s">
        <v>2243</v>
      </c>
      <c r="F1729" s="1545">
        <v>1</v>
      </c>
      <c r="G1729" s="1461"/>
      <c r="H1729" s="1557">
        <f>SUM(F1729*G1729)</f>
        <v>0</v>
      </c>
      <c r="J1729" s="1548"/>
      <c r="K1729" s="1591"/>
    </row>
    <row r="1730" spans="1:11" s="1541" customFormat="1">
      <c r="A1730" s="1518"/>
      <c r="B1730" s="1518"/>
      <c r="C1730" s="1518"/>
      <c r="D1730" s="1554" t="s">
        <v>5384</v>
      </c>
      <c r="E1730" s="1545"/>
      <c r="F1730" s="1594"/>
      <c r="G1730" s="1459"/>
      <c r="H1730" s="1557"/>
      <c r="J1730" s="1548"/>
      <c r="K1730" s="1591"/>
    </row>
    <row r="1731" spans="1:11" s="1541" customFormat="1" ht="38.25">
      <c r="A1731" s="1518"/>
      <c r="B1731" s="1518"/>
      <c r="C1731" s="1518"/>
      <c r="D1731" s="1554" t="s">
        <v>5394</v>
      </c>
      <c r="E1731" s="1545"/>
      <c r="F1731" s="1594"/>
      <c r="G1731" s="1459"/>
      <c r="H1731" s="1557"/>
      <c r="J1731" s="1548"/>
      <c r="K1731" s="1591"/>
    </row>
    <row r="1732" spans="1:11" s="1541" customFormat="1">
      <c r="A1732" s="1518"/>
      <c r="B1732" s="1518"/>
      <c r="C1732" s="1522"/>
      <c r="D1732" s="1554"/>
      <c r="E1732" s="1545"/>
      <c r="F1732" s="1594"/>
      <c r="G1732" s="1459"/>
      <c r="H1732" s="1557"/>
      <c r="J1732" s="1548"/>
      <c r="K1732" s="1591"/>
    </row>
    <row r="1733" spans="1:11" s="1541" customFormat="1" ht="38.25">
      <c r="A1733" s="1518" t="str">
        <f>A1729</f>
        <v>H.</v>
      </c>
      <c r="B1733" s="1518" t="str">
        <f t="shared" ref="B1733" si="63">B1729</f>
        <v>3.</v>
      </c>
      <c r="C1733" s="1518">
        <f>C1729+1</f>
        <v>139</v>
      </c>
      <c r="D1733" s="1554" t="s">
        <v>5395</v>
      </c>
      <c r="E1733" s="1545" t="s">
        <v>2243</v>
      </c>
      <c r="F1733" s="1545">
        <v>1</v>
      </c>
      <c r="G1733" s="1461"/>
      <c r="H1733" s="1557">
        <f>SUM(F1733*G1733)</f>
        <v>0</v>
      </c>
      <c r="J1733" s="1548"/>
      <c r="K1733" s="1591"/>
    </row>
    <row r="1734" spans="1:11" s="1541" customFormat="1">
      <c r="A1734" s="1518"/>
      <c r="B1734" s="1518"/>
      <c r="C1734" s="1518"/>
      <c r="D1734" s="1554" t="s">
        <v>5384</v>
      </c>
      <c r="E1734" s="1545"/>
      <c r="F1734" s="1594"/>
      <c r="G1734" s="1459"/>
      <c r="H1734" s="1557"/>
      <c r="J1734" s="1548"/>
      <c r="K1734" s="1591"/>
    </row>
    <row r="1735" spans="1:11" s="1541" customFormat="1" ht="38.25">
      <c r="A1735" s="1518"/>
      <c r="B1735" s="1518"/>
      <c r="C1735" s="1518"/>
      <c r="D1735" s="1554" t="s">
        <v>5396</v>
      </c>
      <c r="E1735" s="1545"/>
      <c r="F1735" s="1594"/>
      <c r="G1735" s="1459"/>
      <c r="H1735" s="1557"/>
      <c r="J1735" s="1548"/>
      <c r="K1735" s="1591"/>
    </row>
    <row r="1736" spans="1:11" s="1541" customFormat="1">
      <c r="A1736" s="1518"/>
      <c r="B1736" s="1518"/>
      <c r="C1736" s="1522"/>
      <c r="D1736" s="1554"/>
      <c r="E1736" s="1545"/>
      <c r="F1736" s="1594"/>
      <c r="G1736" s="1459"/>
      <c r="H1736" s="1557"/>
      <c r="J1736" s="1548"/>
      <c r="K1736" s="1591"/>
    </row>
    <row r="1737" spans="1:11" s="1541" customFormat="1" ht="38.25">
      <c r="A1737" s="1518" t="str">
        <f>A1733</f>
        <v>H.</v>
      </c>
      <c r="B1737" s="1518" t="str">
        <f t="shared" ref="B1737" si="64">B1733</f>
        <v>3.</v>
      </c>
      <c r="C1737" s="1518">
        <f>C1733+1</f>
        <v>140</v>
      </c>
      <c r="D1737" s="1554" t="s">
        <v>5397</v>
      </c>
      <c r="E1737" s="1545" t="s">
        <v>2243</v>
      </c>
      <c r="F1737" s="1545">
        <v>1</v>
      </c>
      <c r="G1737" s="1461"/>
      <c r="H1737" s="1557">
        <f>SUM(F1737*G1737)</f>
        <v>0</v>
      </c>
      <c r="J1737" s="1548"/>
      <c r="K1737" s="1591"/>
    </row>
    <row r="1738" spans="1:11" s="1541" customFormat="1">
      <c r="A1738" s="1518"/>
      <c r="B1738" s="1518"/>
      <c r="C1738" s="1518"/>
      <c r="D1738" s="1554" t="s">
        <v>5384</v>
      </c>
      <c r="E1738" s="1545"/>
      <c r="F1738" s="1594"/>
      <c r="G1738" s="1459"/>
      <c r="H1738" s="1557"/>
      <c r="J1738" s="1548"/>
      <c r="K1738" s="1591"/>
    </row>
    <row r="1739" spans="1:11" s="1541" customFormat="1" ht="38.25">
      <c r="A1739" s="1518"/>
      <c r="B1739" s="1518"/>
      <c r="C1739" s="1518"/>
      <c r="D1739" s="1554" t="s">
        <v>5398</v>
      </c>
      <c r="E1739" s="1545"/>
      <c r="F1739" s="1594"/>
      <c r="G1739" s="1459"/>
      <c r="H1739" s="1557"/>
      <c r="J1739" s="1548"/>
      <c r="K1739" s="1591"/>
    </row>
    <row r="1740" spans="1:11" s="1541" customFormat="1">
      <c r="A1740" s="1518"/>
      <c r="B1740" s="1518"/>
      <c r="C1740" s="1522"/>
      <c r="E1740" s="1545"/>
      <c r="F1740" s="1594"/>
      <c r="G1740" s="1459"/>
      <c r="H1740" s="1557"/>
      <c r="J1740" s="1548"/>
      <c r="K1740" s="1591"/>
    </row>
    <row r="1741" spans="1:11" s="1541" customFormat="1" ht="25.5">
      <c r="A1741" s="1518" t="str">
        <f>A1737</f>
        <v>H.</v>
      </c>
      <c r="B1741" s="1518" t="str">
        <f t="shared" ref="B1741" si="65">B1737</f>
        <v>3.</v>
      </c>
      <c r="C1741" s="1518">
        <f>C1737+1</f>
        <v>141</v>
      </c>
      <c r="D1741" s="1554" t="s">
        <v>5399</v>
      </c>
      <c r="E1741" s="1545" t="s">
        <v>1160</v>
      </c>
      <c r="F1741" s="1545">
        <v>20</v>
      </c>
      <c r="G1741" s="1461"/>
      <c r="H1741" s="1557">
        <f>SUM(F1741*G1741)</f>
        <v>0</v>
      </c>
      <c r="J1741" s="1548"/>
      <c r="K1741" s="1591"/>
    </row>
    <row r="1742" spans="1:11" s="1541" customFormat="1">
      <c r="A1742" s="1518"/>
      <c r="B1742" s="1518"/>
      <c r="C1742" s="1518"/>
      <c r="D1742" s="1554" t="s">
        <v>5384</v>
      </c>
      <c r="E1742" s="1545"/>
      <c r="F1742" s="1594"/>
      <c r="G1742" s="1459"/>
      <c r="H1742" s="1557"/>
      <c r="J1742" s="1548"/>
      <c r="K1742" s="1591"/>
    </row>
    <row r="1743" spans="1:11" s="1541" customFormat="1" ht="38.25">
      <c r="A1743" s="1518"/>
      <c r="B1743" s="1518"/>
      <c r="C1743" s="1518"/>
      <c r="D1743" s="1554" t="s">
        <v>5400</v>
      </c>
      <c r="E1743" s="1545"/>
      <c r="F1743" s="1594"/>
      <c r="G1743" s="1459"/>
      <c r="H1743" s="1557"/>
      <c r="J1743" s="1548"/>
      <c r="K1743" s="1591"/>
    </row>
    <row r="1744" spans="1:11" s="1541" customFormat="1">
      <c r="A1744" s="1518"/>
      <c r="B1744" s="1518"/>
      <c r="C1744" s="1522"/>
      <c r="D1744" s="1554"/>
      <c r="E1744" s="1545"/>
      <c r="F1744" s="1594"/>
      <c r="G1744" s="1459"/>
      <c r="H1744" s="1557"/>
      <c r="J1744" s="1548"/>
      <c r="K1744" s="1591"/>
    </row>
    <row r="1745" spans="1:11" s="1541" customFormat="1">
      <c r="A1745" s="1518" t="str">
        <f>A1741</f>
        <v>H.</v>
      </c>
      <c r="B1745" s="1518" t="str">
        <f t="shared" ref="B1745" si="66">B1741</f>
        <v>3.</v>
      </c>
      <c r="C1745" s="1518">
        <f>C1741+1</f>
        <v>142</v>
      </c>
      <c r="D1745" s="1554" t="s">
        <v>5401</v>
      </c>
      <c r="E1745" s="1545" t="s">
        <v>1160</v>
      </c>
      <c r="F1745" s="1545">
        <v>20</v>
      </c>
      <c r="G1745" s="1461"/>
      <c r="H1745" s="1557">
        <f>SUM(F1745*G1745)</f>
        <v>0</v>
      </c>
      <c r="J1745" s="1548"/>
      <c r="K1745" s="1591"/>
    </row>
    <row r="1746" spans="1:11" s="1541" customFormat="1">
      <c r="A1746" s="1518"/>
      <c r="B1746" s="1518"/>
      <c r="C1746" s="1518"/>
      <c r="D1746" s="1554" t="s">
        <v>5384</v>
      </c>
      <c r="E1746" s="1545"/>
      <c r="F1746" s="1594"/>
      <c r="G1746" s="1459"/>
      <c r="H1746" s="1557"/>
      <c r="J1746" s="1548"/>
      <c r="K1746" s="1591"/>
    </row>
    <row r="1747" spans="1:11" s="1541" customFormat="1">
      <c r="A1747" s="1518"/>
      <c r="B1747" s="1518"/>
      <c r="C1747" s="1518"/>
      <c r="D1747" s="1554" t="s">
        <v>5402</v>
      </c>
      <c r="E1747" s="1545"/>
      <c r="F1747" s="1594"/>
      <c r="G1747" s="1459"/>
      <c r="H1747" s="1557"/>
      <c r="J1747" s="1548"/>
      <c r="K1747" s="1591"/>
    </row>
    <row r="1748" spans="1:11" s="1541" customFormat="1">
      <c r="A1748" s="1518"/>
      <c r="B1748" s="1518"/>
      <c r="C1748" s="1522"/>
      <c r="D1748" s="1554"/>
      <c r="E1748" s="1545"/>
      <c r="F1748" s="1594"/>
      <c r="G1748" s="1459"/>
      <c r="H1748" s="1557"/>
      <c r="J1748" s="1548"/>
      <c r="K1748" s="1591"/>
    </row>
    <row r="1749" spans="1:11" s="1541" customFormat="1" ht="25.5">
      <c r="A1749" s="1518" t="str">
        <f>A1745</f>
        <v>H.</v>
      </c>
      <c r="B1749" s="1518" t="str">
        <f t="shared" ref="B1749" si="67">B1745</f>
        <v>3.</v>
      </c>
      <c r="C1749" s="1518">
        <f>C1745+1</f>
        <v>143</v>
      </c>
      <c r="D1749" s="1554" t="s">
        <v>5403</v>
      </c>
      <c r="E1749" s="1545" t="s">
        <v>34</v>
      </c>
      <c r="F1749" s="1545">
        <v>2</v>
      </c>
      <c r="G1749" s="1461"/>
      <c r="H1749" s="1557">
        <f>SUM(F1749*G1749)</f>
        <v>0</v>
      </c>
      <c r="J1749" s="1548"/>
      <c r="K1749" s="1591"/>
    </row>
    <row r="1750" spans="1:11" s="1541" customFormat="1">
      <c r="A1750" s="1518"/>
      <c r="B1750" s="1518"/>
      <c r="C1750" s="1518"/>
      <c r="D1750" s="1554" t="s">
        <v>5384</v>
      </c>
      <c r="E1750" s="1545"/>
      <c r="F1750" s="1594"/>
      <c r="G1750" s="1459"/>
      <c r="H1750" s="1557"/>
      <c r="J1750" s="1548"/>
      <c r="K1750" s="1591"/>
    </row>
    <row r="1751" spans="1:11" s="1541" customFormat="1" ht="25.5">
      <c r="A1751" s="1518"/>
      <c r="B1751" s="1518"/>
      <c r="C1751" s="1518"/>
      <c r="D1751" s="1554" t="s">
        <v>5404</v>
      </c>
      <c r="E1751" s="1545"/>
      <c r="F1751" s="1594"/>
      <c r="G1751" s="1459"/>
      <c r="H1751" s="1557"/>
      <c r="J1751" s="1548"/>
      <c r="K1751" s="1591"/>
    </row>
    <row r="1752" spans="1:11" s="1541" customFormat="1">
      <c r="A1752" s="1518"/>
      <c r="B1752" s="1518"/>
      <c r="C1752" s="1522"/>
      <c r="D1752" s="1554"/>
      <c r="E1752" s="1545"/>
      <c r="F1752" s="1594"/>
      <c r="G1752" s="1459"/>
      <c r="H1752" s="1557"/>
      <c r="J1752" s="1548"/>
      <c r="K1752" s="1591"/>
    </row>
    <row r="1753" spans="1:11" s="1541" customFormat="1" ht="38.25">
      <c r="A1753" s="1518" t="str">
        <f>A1749</f>
        <v>H.</v>
      </c>
      <c r="B1753" s="1518" t="str">
        <f t="shared" ref="B1753" si="68">B1749</f>
        <v>3.</v>
      </c>
      <c r="C1753" s="1518">
        <f>C1749+1</f>
        <v>144</v>
      </c>
      <c r="D1753" s="1554" t="s">
        <v>5405</v>
      </c>
      <c r="E1753" s="1545" t="s">
        <v>2243</v>
      </c>
      <c r="F1753" s="1545">
        <v>1</v>
      </c>
      <c r="G1753" s="1461"/>
      <c r="H1753" s="1557">
        <f>SUM(F1753*G1753)</f>
        <v>0</v>
      </c>
      <c r="J1753" s="1548"/>
      <c r="K1753" s="1591"/>
    </row>
    <row r="1754" spans="1:11" s="1541" customFormat="1">
      <c r="A1754" s="1518"/>
      <c r="B1754" s="1518"/>
      <c r="C1754" s="1522"/>
      <c r="D1754" s="1554"/>
      <c r="E1754" s="1545"/>
      <c r="F1754" s="1594"/>
      <c r="G1754" s="1459"/>
      <c r="H1754" s="1557"/>
      <c r="J1754" s="1548"/>
      <c r="K1754" s="1591"/>
    </row>
    <row r="1755" spans="1:11" s="1541" customFormat="1" ht="51">
      <c r="A1755" s="1518" t="str">
        <f>A1753</f>
        <v>H.</v>
      </c>
      <c r="B1755" s="1518" t="str">
        <f t="shared" ref="B1755" si="69">B1753</f>
        <v>3.</v>
      </c>
      <c r="C1755" s="1518">
        <f>C1753+1</f>
        <v>145</v>
      </c>
      <c r="D1755" s="1554" t="s">
        <v>5493</v>
      </c>
      <c r="E1755" s="1545" t="s">
        <v>34</v>
      </c>
      <c r="F1755" s="1545">
        <v>8</v>
      </c>
      <c r="G1755" s="1461"/>
      <c r="H1755" s="1557">
        <f>SUM(F1755*G1755)</f>
        <v>0</v>
      </c>
      <c r="J1755" s="1548"/>
      <c r="K1755" s="1591"/>
    </row>
    <row r="1756" spans="1:11" s="1541" customFormat="1">
      <c r="A1756" s="1518"/>
      <c r="B1756" s="1518"/>
      <c r="C1756" s="1518"/>
      <c r="D1756" s="1554" t="s">
        <v>5384</v>
      </c>
      <c r="E1756" s="1545"/>
      <c r="F1756" s="1594"/>
      <c r="G1756" s="1459"/>
      <c r="H1756" s="1557"/>
      <c r="J1756" s="1548"/>
      <c r="K1756" s="1591"/>
    </row>
    <row r="1757" spans="1:11" s="1541" customFormat="1" ht="38.25">
      <c r="A1757" s="1518"/>
      <c r="B1757" s="1518"/>
      <c r="C1757" s="1518"/>
      <c r="D1757" s="1554" t="s">
        <v>5406</v>
      </c>
      <c r="E1757" s="1545"/>
      <c r="F1757" s="1594"/>
      <c r="G1757" s="1459"/>
      <c r="H1757" s="1557"/>
      <c r="J1757" s="1548"/>
      <c r="K1757" s="1591"/>
    </row>
    <row r="1758" spans="1:11" s="1541" customFormat="1">
      <c r="A1758" s="1518"/>
      <c r="B1758" s="1518"/>
      <c r="C1758" s="1522"/>
      <c r="D1758" s="1554"/>
      <c r="E1758" s="1545"/>
      <c r="F1758" s="1594"/>
      <c r="G1758" s="1459"/>
      <c r="H1758" s="1557"/>
      <c r="J1758" s="1548"/>
      <c r="K1758" s="1591"/>
    </row>
    <row r="1759" spans="1:11" s="1541" customFormat="1" ht="25.5">
      <c r="A1759" s="1518" t="str">
        <f>A1753</f>
        <v>H.</v>
      </c>
      <c r="B1759" s="1518" t="str">
        <f t="shared" ref="B1759" si="70">B1753</f>
        <v>3.</v>
      </c>
      <c r="C1759" s="1518">
        <f>C1755+1</f>
        <v>146</v>
      </c>
      <c r="D1759" s="1554" t="s">
        <v>5407</v>
      </c>
      <c r="E1759" s="1545" t="s">
        <v>34</v>
      </c>
      <c r="F1759" s="1545">
        <v>4</v>
      </c>
      <c r="G1759" s="1461"/>
      <c r="H1759" s="1557">
        <f>SUM(F1759*G1759)</f>
        <v>0</v>
      </c>
      <c r="J1759" s="1548"/>
      <c r="K1759" s="1591"/>
    </row>
    <row r="1760" spans="1:11" s="1541" customFormat="1" ht="140.25">
      <c r="A1760" s="1518"/>
      <c r="B1760" s="1518"/>
      <c r="C1760" s="1522"/>
      <c r="D1760" s="1554" t="s">
        <v>5408</v>
      </c>
      <c r="E1760" s="1545"/>
      <c r="F1760" s="1594"/>
      <c r="G1760" s="1459"/>
      <c r="H1760" s="1557"/>
      <c r="J1760" s="1548"/>
      <c r="K1760" s="1591"/>
    </row>
    <row r="1761" spans="1:11" s="1541" customFormat="1">
      <c r="A1761" s="1518"/>
      <c r="B1761" s="1518"/>
      <c r="C1761" s="1522"/>
      <c r="D1761" s="1554"/>
      <c r="E1761" s="1545"/>
      <c r="F1761" s="1594"/>
      <c r="G1761" s="1459"/>
      <c r="H1761" s="1557"/>
      <c r="J1761" s="1548"/>
      <c r="K1761" s="1591"/>
    </row>
    <row r="1762" spans="1:11" s="1541" customFormat="1" ht="38.25">
      <c r="A1762" s="1518" t="str">
        <f>A1755</f>
        <v>H.</v>
      </c>
      <c r="B1762" s="1518" t="str">
        <f>B1755</f>
        <v>3.</v>
      </c>
      <c r="C1762" s="1518">
        <f>C1759+1</f>
        <v>147</v>
      </c>
      <c r="D1762" s="1554" t="s">
        <v>5405</v>
      </c>
      <c r="E1762" s="1545" t="s">
        <v>2243</v>
      </c>
      <c r="F1762" s="1545">
        <v>1</v>
      </c>
      <c r="G1762" s="1461"/>
      <c r="H1762" s="1557">
        <f>SUM(F1762*G1762)</f>
        <v>0</v>
      </c>
      <c r="J1762" s="1548"/>
      <c r="K1762" s="1591"/>
    </row>
    <row r="1763" spans="1:11" s="1541" customFormat="1">
      <c r="A1763" s="1518"/>
      <c r="B1763" s="1518"/>
      <c r="C1763" s="1518"/>
      <c r="D1763" s="1554" t="s">
        <v>5384</v>
      </c>
      <c r="E1763" s="1545"/>
      <c r="F1763" s="1594"/>
      <c r="G1763" s="1459"/>
      <c r="H1763" s="1557"/>
      <c r="J1763" s="1548"/>
      <c r="K1763" s="1591"/>
    </row>
    <row r="1764" spans="1:11" s="1541" customFormat="1">
      <c r="A1764" s="1518"/>
      <c r="B1764" s="1518"/>
      <c r="C1764" s="1522"/>
      <c r="D1764" s="1554"/>
      <c r="E1764" s="1545"/>
      <c r="F1764" s="1594"/>
      <c r="G1764" s="1459"/>
      <c r="H1764" s="1557"/>
      <c r="J1764" s="1548"/>
      <c r="K1764" s="1591"/>
    </row>
    <row r="1765" spans="1:11" s="1541" customFormat="1">
      <c r="A1765" s="1518"/>
      <c r="B1765" s="1518"/>
      <c r="C1765" s="1519" t="s">
        <v>4635</v>
      </c>
      <c r="D1765" s="1516" t="s">
        <v>5409</v>
      </c>
      <c r="E1765" s="1545"/>
      <c r="F1765" s="1594"/>
      <c r="G1765" s="1459"/>
      <c r="H1765" s="1557"/>
      <c r="J1765" s="1548"/>
      <c r="K1765" s="1591"/>
    </row>
    <row r="1766" spans="1:11" s="1541" customFormat="1">
      <c r="A1766" s="1518"/>
      <c r="B1766" s="1518"/>
      <c r="C1766" s="1522"/>
      <c r="D1766" s="1554"/>
      <c r="E1766" s="1545"/>
      <c r="F1766" s="1594"/>
      <c r="G1766" s="1459"/>
      <c r="H1766" s="1557"/>
      <c r="J1766" s="1548"/>
      <c r="K1766" s="1591"/>
    </row>
    <row r="1767" spans="1:11" s="1541" customFormat="1" ht="38.25">
      <c r="A1767" s="1518" t="str">
        <f>A1762</f>
        <v>H.</v>
      </c>
      <c r="B1767" s="1518" t="str">
        <f t="shared" ref="B1767" si="71">B1762</f>
        <v>3.</v>
      </c>
      <c r="C1767" s="1518">
        <f>C1762+1</f>
        <v>148</v>
      </c>
      <c r="D1767" s="1554" t="s">
        <v>5410</v>
      </c>
      <c r="E1767" s="1545" t="s">
        <v>1160</v>
      </c>
      <c r="F1767" s="1594">
        <v>325</v>
      </c>
      <c r="G1767" s="1461"/>
      <c r="H1767" s="1557">
        <f>SUM(F1767*G1767)</f>
        <v>0</v>
      </c>
      <c r="J1767" s="1548"/>
      <c r="K1767" s="1591"/>
    </row>
    <row r="1768" spans="1:11" s="1541" customFormat="1">
      <c r="A1768" s="1518"/>
      <c r="B1768" s="1518"/>
      <c r="C1768" s="1522"/>
      <c r="D1768" s="1554"/>
      <c r="E1768" s="1545"/>
      <c r="F1768" s="1594"/>
      <c r="G1768" s="1459"/>
      <c r="H1768" s="1557"/>
      <c r="J1768" s="1548"/>
      <c r="K1768" s="1591"/>
    </row>
    <row r="1769" spans="1:11" s="1541" customFormat="1" ht="25.5">
      <c r="A1769" s="1518" t="str">
        <f>A1767</f>
        <v>H.</v>
      </c>
      <c r="B1769" s="1518" t="str">
        <f t="shared" ref="B1769:B1797" si="72">B1767</f>
        <v>3.</v>
      </c>
      <c r="C1769" s="1518">
        <f>C1767+1</f>
        <v>149</v>
      </c>
      <c r="D1769" s="1554" t="s">
        <v>5411</v>
      </c>
      <c r="E1769" s="1545" t="s">
        <v>34</v>
      </c>
      <c r="F1769" s="1545">
        <v>6</v>
      </c>
      <c r="G1769" s="1461"/>
      <c r="H1769" s="1557">
        <f>SUM(F1769*G1769)</f>
        <v>0</v>
      </c>
      <c r="J1769" s="1548"/>
      <c r="K1769" s="1591"/>
    </row>
    <row r="1770" spans="1:11" s="1541" customFormat="1">
      <c r="A1770" s="1518"/>
      <c r="B1770" s="1518"/>
      <c r="C1770" s="1522"/>
      <c r="D1770" s="1554"/>
      <c r="E1770" s="1545"/>
      <c r="F1770" s="1545"/>
      <c r="G1770" s="1459"/>
      <c r="H1770" s="1557"/>
      <c r="J1770" s="1548"/>
      <c r="K1770" s="1591"/>
    </row>
    <row r="1771" spans="1:11" s="1541" customFormat="1" ht="25.5">
      <c r="A1771" s="1518" t="str">
        <f>A1769</f>
        <v>H.</v>
      </c>
      <c r="B1771" s="1518" t="str">
        <f t="shared" si="72"/>
        <v>3.</v>
      </c>
      <c r="C1771" s="1518">
        <f>C1769+1</f>
        <v>150</v>
      </c>
      <c r="D1771" s="1554" t="s">
        <v>5412</v>
      </c>
      <c r="E1771" s="1545" t="s">
        <v>34</v>
      </c>
      <c r="F1771" s="1545">
        <v>6</v>
      </c>
      <c r="G1771" s="1461"/>
      <c r="H1771" s="1557">
        <f>SUM(F1771*G1771)</f>
        <v>0</v>
      </c>
      <c r="J1771" s="1548"/>
      <c r="K1771" s="1591"/>
    </row>
    <row r="1772" spans="1:11" s="1541" customFormat="1">
      <c r="A1772" s="1518"/>
      <c r="B1772" s="1518"/>
      <c r="C1772" s="1522"/>
      <c r="D1772" s="1554"/>
      <c r="E1772" s="1545"/>
      <c r="F1772" s="1545"/>
      <c r="G1772" s="1459"/>
      <c r="H1772" s="1557"/>
      <c r="J1772" s="1548"/>
      <c r="K1772" s="1591"/>
    </row>
    <row r="1773" spans="1:11" s="1541" customFormat="1" ht="25.5">
      <c r="A1773" s="1518" t="str">
        <f>A1771</f>
        <v>H.</v>
      </c>
      <c r="B1773" s="1518" t="str">
        <f t="shared" si="72"/>
        <v>3.</v>
      </c>
      <c r="C1773" s="1518">
        <f>C1771+1</f>
        <v>151</v>
      </c>
      <c r="D1773" s="1554" t="s">
        <v>5413</v>
      </c>
      <c r="E1773" s="1545" t="s">
        <v>34</v>
      </c>
      <c r="F1773" s="1545">
        <v>110</v>
      </c>
      <c r="G1773" s="1461"/>
      <c r="H1773" s="1557">
        <f>SUM(F1773*G1773)</f>
        <v>0</v>
      </c>
      <c r="J1773" s="1548"/>
      <c r="K1773" s="1591"/>
    </row>
    <row r="1774" spans="1:11" s="1541" customFormat="1">
      <c r="A1774" s="1518"/>
      <c r="B1774" s="1518"/>
      <c r="C1774" s="1522"/>
      <c r="D1774" s="1554"/>
      <c r="E1774" s="1545"/>
      <c r="F1774" s="1545"/>
      <c r="G1774" s="1459"/>
      <c r="H1774" s="1557"/>
      <c r="J1774" s="1548"/>
      <c r="K1774" s="1591"/>
    </row>
    <row r="1775" spans="1:11" s="1541" customFormat="1" ht="25.5">
      <c r="A1775" s="1518" t="str">
        <f>A1773</f>
        <v>H.</v>
      </c>
      <c r="B1775" s="1518" t="str">
        <f t="shared" si="72"/>
        <v>3.</v>
      </c>
      <c r="C1775" s="1518">
        <f>C1773+1</f>
        <v>152</v>
      </c>
      <c r="D1775" s="1554" t="s">
        <v>5414</v>
      </c>
      <c r="E1775" s="1545" t="s">
        <v>34</v>
      </c>
      <c r="F1775" s="1545">
        <v>70</v>
      </c>
      <c r="G1775" s="1461"/>
      <c r="H1775" s="1557">
        <f>SUM(F1775*G1775)</f>
        <v>0</v>
      </c>
      <c r="J1775" s="1548"/>
      <c r="K1775" s="1591"/>
    </row>
    <row r="1776" spans="1:11" s="1541" customFormat="1">
      <c r="A1776" s="1518"/>
      <c r="B1776" s="1518"/>
      <c r="C1776" s="1522"/>
      <c r="D1776" s="1554"/>
      <c r="E1776" s="1545"/>
      <c r="F1776" s="1545"/>
      <c r="G1776" s="1459"/>
      <c r="H1776" s="1557"/>
      <c r="J1776" s="1548"/>
      <c r="K1776" s="1591"/>
    </row>
    <row r="1777" spans="1:11" s="1541" customFormat="1" ht="38.25">
      <c r="A1777" s="1518" t="str">
        <f>A1775</f>
        <v>H.</v>
      </c>
      <c r="B1777" s="1518" t="str">
        <f t="shared" si="72"/>
        <v>3.</v>
      </c>
      <c r="C1777" s="1518">
        <f>C1775+1</f>
        <v>153</v>
      </c>
      <c r="D1777" s="1554" t="s">
        <v>5415</v>
      </c>
      <c r="E1777" s="1545" t="s">
        <v>34</v>
      </c>
      <c r="F1777" s="1545">
        <v>180</v>
      </c>
      <c r="G1777" s="1461"/>
      <c r="H1777" s="1557">
        <f>SUM(F1777*G1777)</f>
        <v>0</v>
      </c>
      <c r="J1777" s="1548"/>
      <c r="K1777" s="1591"/>
    </row>
    <row r="1778" spans="1:11" s="1541" customFormat="1">
      <c r="A1778" s="1518"/>
      <c r="B1778" s="1518"/>
      <c r="C1778" s="1522"/>
      <c r="D1778" s="1554"/>
      <c r="E1778" s="1545"/>
      <c r="F1778" s="1594"/>
      <c r="G1778" s="1459"/>
      <c r="H1778" s="1557"/>
      <c r="J1778" s="1548"/>
      <c r="K1778" s="1591"/>
    </row>
    <row r="1779" spans="1:11" s="1541" customFormat="1" ht="25.5">
      <c r="A1779" s="1518" t="str">
        <f>A1777</f>
        <v>H.</v>
      </c>
      <c r="B1779" s="1518" t="str">
        <f t="shared" si="72"/>
        <v>3.</v>
      </c>
      <c r="C1779" s="1518">
        <f>C1777+1</f>
        <v>154</v>
      </c>
      <c r="D1779" s="1554" t="s">
        <v>5416</v>
      </c>
      <c r="E1779" s="1545" t="s">
        <v>34</v>
      </c>
      <c r="F1779" s="1545">
        <v>10</v>
      </c>
      <c r="G1779" s="1461"/>
      <c r="H1779" s="1557">
        <f>SUM(F1779*G1779)</f>
        <v>0</v>
      </c>
      <c r="J1779" s="1548"/>
      <c r="K1779" s="1591"/>
    </row>
    <row r="1780" spans="1:11" s="1541" customFormat="1">
      <c r="A1780" s="1518"/>
      <c r="B1780" s="1518"/>
      <c r="C1780" s="1522"/>
      <c r="D1780" s="1554"/>
      <c r="E1780" s="1545"/>
      <c r="F1780" s="1545"/>
      <c r="G1780" s="1459"/>
      <c r="H1780" s="1557"/>
      <c r="J1780" s="1548"/>
      <c r="K1780" s="1591"/>
    </row>
    <row r="1781" spans="1:11" s="1541" customFormat="1" ht="25.5">
      <c r="A1781" s="1518" t="str">
        <f>A1779</f>
        <v>H.</v>
      </c>
      <c r="B1781" s="1518" t="str">
        <f t="shared" si="72"/>
        <v>3.</v>
      </c>
      <c r="C1781" s="1518">
        <f>C1779+1</f>
        <v>155</v>
      </c>
      <c r="D1781" s="1554" t="s">
        <v>5417</v>
      </c>
      <c r="E1781" s="1545" t="s">
        <v>34</v>
      </c>
      <c r="F1781" s="1545">
        <v>14</v>
      </c>
      <c r="G1781" s="1461"/>
      <c r="H1781" s="1557">
        <f>SUM(F1781*G1781)</f>
        <v>0</v>
      </c>
      <c r="J1781" s="1548"/>
      <c r="K1781" s="1591"/>
    </row>
    <row r="1782" spans="1:11" s="1541" customFormat="1">
      <c r="A1782" s="1518"/>
      <c r="B1782" s="1518"/>
      <c r="C1782" s="1522"/>
      <c r="D1782" s="1554"/>
      <c r="E1782" s="1545"/>
      <c r="F1782" s="1545"/>
      <c r="G1782" s="1459"/>
      <c r="H1782" s="1557"/>
      <c r="J1782" s="1548"/>
      <c r="K1782" s="1591"/>
    </row>
    <row r="1783" spans="1:11" s="1541" customFormat="1" ht="51">
      <c r="A1783" s="1518" t="str">
        <f>A1781</f>
        <v>H.</v>
      </c>
      <c r="B1783" s="1518" t="str">
        <f t="shared" si="72"/>
        <v>3.</v>
      </c>
      <c r="C1783" s="1518">
        <f>C1781+1</f>
        <v>156</v>
      </c>
      <c r="D1783" s="1554" t="s">
        <v>5418</v>
      </c>
      <c r="E1783" s="1545" t="s">
        <v>34</v>
      </c>
      <c r="F1783" s="1545">
        <v>8</v>
      </c>
      <c r="G1783" s="1461"/>
      <c r="H1783" s="1557">
        <f>SUM(F1783*G1783)</f>
        <v>0</v>
      </c>
      <c r="J1783" s="1548"/>
      <c r="K1783" s="1591"/>
    </row>
    <row r="1784" spans="1:11" s="1541" customFormat="1">
      <c r="A1784" s="1518"/>
      <c r="B1784" s="1518"/>
      <c r="C1784" s="1522"/>
      <c r="D1784" s="1554"/>
      <c r="E1784" s="1545"/>
      <c r="F1784" s="1594"/>
      <c r="G1784" s="1459"/>
      <c r="H1784" s="1557"/>
      <c r="J1784" s="1548"/>
      <c r="K1784" s="1591"/>
    </row>
    <row r="1785" spans="1:11" s="1541" customFormat="1" ht="51">
      <c r="A1785" s="1518" t="str">
        <f>A1783</f>
        <v>H.</v>
      </c>
      <c r="B1785" s="1518" t="str">
        <f t="shared" si="72"/>
        <v>3.</v>
      </c>
      <c r="C1785" s="1518">
        <f>C1783+1</f>
        <v>157</v>
      </c>
      <c r="D1785" s="1554" t="s">
        <v>5419</v>
      </c>
      <c r="E1785" s="1545" t="s">
        <v>34</v>
      </c>
      <c r="F1785" s="1545">
        <v>10</v>
      </c>
      <c r="G1785" s="1461"/>
      <c r="H1785" s="1557">
        <f>SUM(F1785*G1785)</f>
        <v>0</v>
      </c>
      <c r="J1785" s="1548"/>
      <c r="K1785" s="1591"/>
    </row>
    <row r="1786" spans="1:11" s="1541" customFormat="1">
      <c r="A1786" s="1518"/>
      <c r="B1786" s="1518"/>
      <c r="C1786" s="1522"/>
      <c r="D1786" s="1554"/>
      <c r="E1786" s="1545"/>
      <c r="F1786" s="1545"/>
      <c r="G1786" s="1459"/>
      <c r="H1786" s="1557"/>
      <c r="J1786" s="1548"/>
      <c r="K1786" s="1591"/>
    </row>
    <row r="1787" spans="1:11" s="1541" customFormat="1" ht="25.5">
      <c r="A1787" s="1518" t="str">
        <f>A1785</f>
        <v>H.</v>
      </c>
      <c r="B1787" s="1518" t="str">
        <f t="shared" si="72"/>
        <v>3.</v>
      </c>
      <c r="C1787" s="1518">
        <f>C1785+1</f>
        <v>158</v>
      </c>
      <c r="D1787" s="1554" t="s">
        <v>5420</v>
      </c>
      <c r="E1787" s="1545" t="s">
        <v>34</v>
      </c>
      <c r="F1787" s="1545">
        <v>1</v>
      </c>
      <c r="G1787" s="1461"/>
      <c r="H1787" s="1557">
        <f>SUM(F1787*G1787)</f>
        <v>0</v>
      </c>
      <c r="J1787" s="1548"/>
      <c r="K1787" s="1591"/>
    </row>
    <row r="1788" spans="1:11" s="1541" customFormat="1">
      <c r="A1788" s="1518"/>
      <c r="B1788" s="1518"/>
      <c r="C1788" s="1522"/>
      <c r="D1788" s="1554"/>
      <c r="E1788" s="1545"/>
      <c r="F1788" s="1545"/>
      <c r="G1788" s="1459"/>
      <c r="H1788" s="1557"/>
      <c r="J1788" s="1548"/>
      <c r="K1788" s="1591"/>
    </row>
    <row r="1789" spans="1:11" s="1541" customFormat="1" ht="76.5">
      <c r="A1789" s="1518" t="str">
        <f>A1787</f>
        <v>H.</v>
      </c>
      <c r="B1789" s="1518" t="str">
        <f t="shared" si="72"/>
        <v>3.</v>
      </c>
      <c r="C1789" s="1518">
        <f>C1787+1</f>
        <v>159</v>
      </c>
      <c r="D1789" s="1554" t="s">
        <v>5421</v>
      </c>
      <c r="E1789" s="1545" t="s">
        <v>34</v>
      </c>
      <c r="F1789" s="1545">
        <v>16</v>
      </c>
      <c r="G1789" s="1461"/>
      <c r="H1789" s="1557">
        <f>SUM(F1789*G1789)</f>
        <v>0</v>
      </c>
      <c r="J1789" s="1548"/>
      <c r="K1789" s="1591"/>
    </row>
    <row r="1790" spans="1:11" s="1541" customFormat="1">
      <c r="A1790" s="1518"/>
      <c r="B1790" s="1518"/>
      <c r="C1790" s="1522"/>
      <c r="D1790" s="1554"/>
      <c r="E1790" s="1545"/>
      <c r="F1790" s="1594"/>
      <c r="G1790" s="1459"/>
      <c r="H1790" s="1557"/>
      <c r="J1790" s="1548"/>
      <c r="K1790" s="1591"/>
    </row>
    <row r="1791" spans="1:11" s="1541" customFormat="1" ht="63.75">
      <c r="A1791" s="1518" t="str">
        <f>A1789</f>
        <v>H.</v>
      </c>
      <c r="B1791" s="1518" t="str">
        <f t="shared" si="72"/>
        <v>3.</v>
      </c>
      <c r="C1791" s="1518">
        <f>C1789+1</f>
        <v>160</v>
      </c>
      <c r="D1791" s="1554" t="s">
        <v>5422</v>
      </c>
      <c r="E1791" s="1545" t="s">
        <v>1160</v>
      </c>
      <c r="F1791" s="1594">
        <v>160</v>
      </c>
      <c r="G1791" s="1461"/>
      <c r="H1791" s="1557">
        <f>SUM(F1791*G1791)</f>
        <v>0</v>
      </c>
      <c r="J1791" s="1548"/>
      <c r="K1791" s="1591"/>
    </row>
    <row r="1792" spans="1:11" s="1541" customFormat="1">
      <c r="A1792" s="1518"/>
      <c r="B1792" s="1518"/>
      <c r="C1792" s="1522"/>
      <c r="D1792" s="1554"/>
      <c r="E1792" s="1545"/>
      <c r="F1792" s="1594"/>
      <c r="G1792" s="1459"/>
      <c r="H1792" s="1557"/>
      <c r="J1792" s="1548"/>
      <c r="K1792" s="1591"/>
    </row>
    <row r="1793" spans="1:11" s="1541" customFormat="1" ht="63.75">
      <c r="A1793" s="1518" t="str">
        <f>A1791</f>
        <v>H.</v>
      </c>
      <c r="B1793" s="1518" t="str">
        <f t="shared" si="72"/>
        <v>3.</v>
      </c>
      <c r="C1793" s="1518">
        <f>C1791+1</f>
        <v>161</v>
      </c>
      <c r="D1793" s="1554" t="s">
        <v>5423</v>
      </c>
      <c r="E1793" s="1545" t="s">
        <v>34</v>
      </c>
      <c r="F1793" s="1545">
        <v>8</v>
      </c>
      <c r="G1793" s="1461"/>
      <c r="H1793" s="1557">
        <f>SUM(F1793*G1793)</f>
        <v>0</v>
      </c>
      <c r="J1793" s="1548"/>
      <c r="K1793" s="1591"/>
    </row>
    <row r="1794" spans="1:11" s="1541" customFormat="1">
      <c r="A1794" s="1518"/>
      <c r="B1794" s="1518"/>
      <c r="C1794" s="1522"/>
      <c r="D1794" s="1554"/>
      <c r="E1794" s="1545"/>
      <c r="F1794" s="1594"/>
      <c r="G1794" s="1459"/>
      <c r="H1794" s="1557"/>
      <c r="J1794" s="1548"/>
      <c r="K1794" s="1591"/>
    </row>
    <row r="1795" spans="1:11" s="1541" customFormat="1" ht="63.75">
      <c r="A1795" s="1518" t="str">
        <f>A1793</f>
        <v>H.</v>
      </c>
      <c r="B1795" s="1518" t="str">
        <f t="shared" si="72"/>
        <v>3.</v>
      </c>
      <c r="C1795" s="1518">
        <f>C1793+1</f>
        <v>162</v>
      </c>
      <c r="D1795" s="1554" t="s">
        <v>5424</v>
      </c>
      <c r="E1795" s="1545" t="s">
        <v>2243</v>
      </c>
      <c r="F1795" s="1545">
        <v>1</v>
      </c>
      <c r="G1795" s="1461"/>
      <c r="H1795" s="1557">
        <f>SUM(F1795*G1795)</f>
        <v>0</v>
      </c>
      <c r="J1795" s="1548"/>
      <c r="K1795" s="1591"/>
    </row>
    <row r="1796" spans="1:11" s="1541" customFormat="1">
      <c r="A1796" s="1518"/>
      <c r="B1796" s="1518"/>
      <c r="C1796" s="1522"/>
      <c r="D1796" s="1554"/>
      <c r="E1796" s="1545"/>
      <c r="F1796" s="1545"/>
      <c r="G1796" s="1459"/>
      <c r="H1796" s="1557"/>
      <c r="J1796" s="1548"/>
      <c r="K1796" s="1591"/>
    </row>
    <row r="1797" spans="1:11" s="1541" customFormat="1" ht="25.5">
      <c r="A1797" s="1518" t="str">
        <f>A1795</f>
        <v>H.</v>
      </c>
      <c r="B1797" s="1518" t="str">
        <f t="shared" si="72"/>
        <v>3.</v>
      </c>
      <c r="C1797" s="1518">
        <f>C1795+1</f>
        <v>163</v>
      </c>
      <c r="D1797" s="1554" t="s">
        <v>5425</v>
      </c>
      <c r="E1797" s="1545" t="s">
        <v>2243</v>
      </c>
      <c r="F1797" s="1545">
        <v>1</v>
      </c>
      <c r="G1797" s="1461"/>
      <c r="H1797" s="1557">
        <f>SUM(F1797*G1797)</f>
        <v>0</v>
      </c>
      <c r="J1797" s="1548"/>
      <c r="K1797" s="1591"/>
    </row>
    <row r="1798" spans="1:11" s="1541" customFormat="1">
      <c r="A1798" s="1518"/>
      <c r="B1798" s="1518"/>
      <c r="C1798" s="1522"/>
      <c r="D1798" s="1554"/>
      <c r="E1798" s="1545"/>
      <c r="F1798" s="1594"/>
      <c r="G1798" s="1459"/>
      <c r="H1798" s="1557"/>
      <c r="J1798" s="1548"/>
      <c r="K1798" s="1591"/>
    </row>
    <row r="1799" spans="1:11" s="1541" customFormat="1">
      <c r="A1799" s="1518"/>
      <c r="B1799" s="1518"/>
      <c r="C1799" s="1519" t="s">
        <v>4635</v>
      </c>
      <c r="D1799" s="1516" t="s">
        <v>5426</v>
      </c>
      <c r="E1799" s="1545"/>
      <c r="F1799" s="1594"/>
      <c r="G1799" s="1459"/>
      <c r="H1799" s="1557"/>
      <c r="J1799" s="1548"/>
      <c r="K1799" s="1591"/>
    </row>
    <row r="1800" spans="1:11" s="1541" customFormat="1" ht="25.5">
      <c r="A1800" s="1518" t="str">
        <f>A1797</f>
        <v>H.</v>
      </c>
      <c r="B1800" s="1518" t="str">
        <f t="shared" ref="B1800" si="73">B1797</f>
        <v>3.</v>
      </c>
      <c r="C1800" s="1518">
        <f>C1797+1</f>
        <v>164</v>
      </c>
      <c r="D1800" s="1554" t="s">
        <v>5427</v>
      </c>
      <c r="E1800" s="1545" t="s">
        <v>2243</v>
      </c>
      <c r="F1800" s="1545">
        <v>1</v>
      </c>
      <c r="G1800" s="1461"/>
      <c r="H1800" s="1557">
        <f>SUM(F1800*G1800)</f>
        <v>0</v>
      </c>
      <c r="J1800" s="1548"/>
      <c r="K1800" s="1591"/>
    </row>
    <row r="1801" spans="1:11" s="1541" customFormat="1">
      <c r="A1801" s="1518"/>
      <c r="B1801" s="1518"/>
      <c r="C1801" s="1522"/>
      <c r="D1801" s="1554"/>
      <c r="E1801" s="1545"/>
      <c r="F1801" s="1545"/>
      <c r="G1801" s="1459"/>
      <c r="H1801" s="1557"/>
      <c r="J1801" s="1548"/>
      <c r="K1801" s="1591"/>
    </row>
    <row r="1802" spans="1:11" s="1541" customFormat="1" ht="25.5">
      <c r="A1802" s="1518" t="str">
        <f>A1800</f>
        <v>H.</v>
      </c>
      <c r="B1802" s="1518" t="str">
        <f t="shared" ref="B1802" si="74">B1800</f>
        <v>3.</v>
      </c>
      <c r="C1802" s="1518">
        <f>C1800+1</f>
        <v>165</v>
      </c>
      <c r="D1802" s="1554" t="s">
        <v>5428</v>
      </c>
      <c r="E1802" s="1545" t="s">
        <v>2243</v>
      </c>
      <c r="F1802" s="1545">
        <v>2</v>
      </c>
      <c r="G1802" s="1461"/>
      <c r="H1802" s="1557">
        <f>SUM(F1802*G1802)</f>
        <v>0</v>
      </c>
      <c r="J1802" s="1548"/>
      <c r="K1802" s="1591"/>
    </row>
    <row r="1803" spans="1:11" s="1541" customFormat="1">
      <c r="A1803" s="1518"/>
      <c r="B1803" s="1518"/>
      <c r="C1803" s="1522"/>
      <c r="D1803" s="1554"/>
      <c r="E1803" s="1545"/>
      <c r="F1803" s="1545"/>
      <c r="G1803" s="1459"/>
      <c r="H1803" s="1557"/>
      <c r="J1803" s="1548"/>
      <c r="K1803" s="1591"/>
    </row>
    <row r="1804" spans="1:11" s="1541" customFormat="1" ht="51">
      <c r="A1804" s="1518" t="str">
        <f>A1802</f>
        <v>H.</v>
      </c>
      <c r="B1804" s="1518" t="str">
        <f t="shared" ref="B1804" si="75">B1802</f>
        <v>3.</v>
      </c>
      <c r="C1804" s="1518">
        <f>C1802+1</f>
        <v>166</v>
      </c>
      <c r="D1804" s="1554" t="s">
        <v>5429</v>
      </c>
      <c r="E1804" s="1545" t="s">
        <v>2243</v>
      </c>
      <c r="F1804" s="1545">
        <v>1</v>
      </c>
      <c r="G1804" s="1461"/>
      <c r="H1804" s="1557">
        <f>SUM(F1804*G1804)</f>
        <v>0</v>
      </c>
      <c r="J1804" s="1548"/>
      <c r="K1804" s="1591"/>
    </row>
    <row r="1805" spans="1:11" s="1541" customFormat="1">
      <c r="A1805" s="1518"/>
      <c r="B1805" s="1518"/>
      <c r="C1805" s="1522"/>
      <c r="D1805" s="1554"/>
      <c r="E1805" s="1545"/>
      <c r="F1805" s="1594"/>
      <c r="G1805" s="1459"/>
      <c r="H1805" s="1557"/>
      <c r="J1805" s="1548"/>
      <c r="K1805" s="1591"/>
    </row>
    <row r="1806" spans="1:11" s="1541" customFormat="1">
      <c r="A1806" s="1518"/>
      <c r="B1806" s="1518"/>
      <c r="C1806" s="1519" t="s">
        <v>4635</v>
      </c>
      <c r="D1806" s="1516" t="s">
        <v>5430</v>
      </c>
      <c r="E1806" s="1545"/>
      <c r="F1806" s="1594"/>
      <c r="G1806" s="1459"/>
      <c r="H1806" s="1557"/>
      <c r="J1806" s="1548"/>
      <c r="K1806" s="1591"/>
    </row>
    <row r="1807" spans="1:11" s="1541" customFormat="1" ht="76.5">
      <c r="A1807" s="1518" t="str">
        <f>A1804</f>
        <v>H.</v>
      </c>
      <c r="B1807" s="1518" t="str">
        <f t="shared" ref="B1807" si="76">B1804</f>
        <v>3.</v>
      </c>
      <c r="C1807" s="1518">
        <f>C1804+1</f>
        <v>167</v>
      </c>
      <c r="D1807" s="1554" t="s">
        <v>5431</v>
      </c>
      <c r="E1807" s="1545" t="s">
        <v>2243</v>
      </c>
      <c r="F1807" s="1545">
        <v>3</v>
      </c>
      <c r="G1807" s="1461"/>
      <c r="H1807" s="1557">
        <f>SUM(F1807*G1807)</f>
        <v>0</v>
      </c>
      <c r="J1807" s="1548"/>
      <c r="K1807" s="1591"/>
    </row>
    <row r="1808" spans="1:11" s="1541" customFormat="1">
      <c r="A1808" s="1518"/>
      <c r="B1808" s="1518"/>
      <c r="C1808" s="1522"/>
      <c r="D1808" s="1572" t="s">
        <v>5386</v>
      </c>
      <c r="E1808" s="1545"/>
      <c r="F1808" s="1594"/>
      <c r="G1808" s="1459"/>
      <c r="H1808" s="1557"/>
      <c r="J1808" s="1548"/>
      <c r="K1808" s="1591"/>
    </row>
    <row r="1809" spans="1:11" s="1541" customFormat="1">
      <c r="A1809" s="1518"/>
      <c r="B1809" s="1518"/>
      <c r="C1809" s="1522"/>
      <c r="D1809" s="1554"/>
      <c r="E1809" s="1545"/>
      <c r="F1809" s="1545"/>
      <c r="G1809" s="1459"/>
      <c r="H1809" s="1557"/>
      <c r="J1809" s="1548"/>
      <c r="K1809" s="1591"/>
    </row>
    <row r="1810" spans="1:11" s="1541" customFormat="1" ht="51">
      <c r="A1810" s="1518" t="str">
        <f>A1807</f>
        <v>H.</v>
      </c>
      <c r="B1810" s="1518" t="str">
        <f t="shared" ref="B1810" si="77">B1807</f>
        <v>3.</v>
      </c>
      <c r="C1810" s="1518">
        <f>C1807+1</f>
        <v>168</v>
      </c>
      <c r="D1810" s="1554" t="s">
        <v>5432</v>
      </c>
      <c r="E1810" s="1545" t="s">
        <v>2243</v>
      </c>
      <c r="F1810" s="1545">
        <v>1</v>
      </c>
      <c r="G1810" s="1461"/>
      <c r="H1810" s="1557">
        <f>SUM(F1810*G1810)</f>
        <v>0</v>
      </c>
      <c r="J1810" s="1548"/>
      <c r="K1810" s="1591"/>
    </row>
    <row r="1811" spans="1:11" s="1541" customFormat="1">
      <c r="A1811" s="1518"/>
      <c r="B1811" s="1518"/>
      <c r="C1811" s="1522"/>
      <c r="D1811" s="1572" t="s">
        <v>5386</v>
      </c>
      <c r="E1811" s="1545"/>
      <c r="F1811" s="1594"/>
      <c r="G1811" s="1459"/>
      <c r="H1811" s="1557"/>
      <c r="J1811" s="1548"/>
      <c r="K1811" s="1591"/>
    </row>
    <row r="1812" spans="1:11" s="1541" customFormat="1">
      <c r="A1812" s="1518"/>
      <c r="B1812" s="1518"/>
      <c r="C1812" s="1522"/>
      <c r="D1812" s="1554"/>
      <c r="E1812" s="1545"/>
      <c r="F1812" s="1545"/>
      <c r="G1812" s="1459"/>
      <c r="H1812" s="1557"/>
      <c r="J1812" s="1548"/>
      <c r="K1812" s="1591"/>
    </row>
    <row r="1813" spans="1:11" s="1541" customFormat="1" ht="38.25">
      <c r="A1813" s="1518" t="str">
        <f>A1810</f>
        <v>H.</v>
      </c>
      <c r="B1813" s="1518" t="str">
        <f t="shared" ref="B1813" si="78">B1810</f>
        <v>3.</v>
      </c>
      <c r="C1813" s="1518">
        <f>C1810+1</f>
        <v>169</v>
      </c>
      <c r="D1813" s="1554" t="s">
        <v>5433</v>
      </c>
      <c r="E1813" s="1545" t="s">
        <v>2243</v>
      </c>
      <c r="F1813" s="1545">
        <v>3</v>
      </c>
      <c r="G1813" s="1461"/>
      <c r="H1813" s="1557">
        <f>SUM(F1813*G1813)</f>
        <v>0</v>
      </c>
      <c r="J1813" s="1548"/>
      <c r="K1813" s="1591"/>
    </row>
    <row r="1814" spans="1:11" s="1541" customFormat="1">
      <c r="A1814" s="1518"/>
      <c r="B1814" s="1518"/>
      <c r="C1814" s="1522"/>
      <c r="D1814" s="1554"/>
      <c r="E1814" s="1545"/>
      <c r="F1814" s="1545"/>
      <c r="G1814" s="1459"/>
      <c r="H1814" s="1557"/>
      <c r="J1814" s="1548"/>
      <c r="K1814" s="1591"/>
    </row>
    <row r="1815" spans="1:11" s="1541" customFormat="1" ht="38.25">
      <c r="A1815" s="1518" t="str">
        <f>A1813</f>
        <v>H.</v>
      </c>
      <c r="B1815" s="1518" t="str">
        <f t="shared" ref="B1815" si="79">B1813</f>
        <v>3.</v>
      </c>
      <c r="C1815" s="1518">
        <f>C1813+1</f>
        <v>170</v>
      </c>
      <c r="D1815" s="1554" t="s">
        <v>5434</v>
      </c>
      <c r="E1815" s="1545" t="s">
        <v>2243</v>
      </c>
      <c r="F1815" s="1545">
        <v>1</v>
      </c>
      <c r="G1815" s="1461"/>
      <c r="H1815" s="1557">
        <f>SUM(F1815*G1815)</f>
        <v>0</v>
      </c>
      <c r="J1815" s="1548"/>
      <c r="K1815" s="1591"/>
    </row>
    <row r="1816" spans="1:11" s="1541" customFormat="1">
      <c r="A1816" s="1518"/>
      <c r="B1816" s="1518"/>
      <c r="C1816" s="1522"/>
      <c r="D1816" s="1554"/>
      <c r="E1816" s="1545"/>
      <c r="F1816" s="1594"/>
      <c r="G1816" s="1459"/>
      <c r="H1816" s="1557"/>
      <c r="J1816" s="1548"/>
      <c r="K1816" s="1591"/>
    </row>
    <row r="1817" spans="1:11" s="1541" customFormat="1" ht="25.5">
      <c r="A1817" s="1518" t="str">
        <f>A1815</f>
        <v>H.</v>
      </c>
      <c r="B1817" s="1518" t="str">
        <f t="shared" ref="B1817" si="80">B1815</f>
        <v>3.</v>
      </c>
      <c r="C1817" s="1518">
        <f>C1815+1</f>
        <v>171</v>
      </c>
      <c r="D1817" s="1554" t="s">
        <v>5435</v>
      </c>
      <c r="E1817" s="1545"/>
      <c r="F1817" s="1594"/>
      <c r="G1817" s="1459"/>
      <c r="H1817" s="1557"/>
      <c r="J1817" s="1548"/>
      <c r="K1817" s="1591"/>
    </row>
    <row r="1818" spans="1:11" s="1541" customFormat="1">
      <c r="A1818" s="1518"/>
      <c r="B1818" s="1518"/>
      <c r="C1818" s="1522"/>
      <c r="D1818" s="1554" t="s">
        <v>5436</v>
      </c>
      <c r="E1818" s="1545"/>
      <c r="F1818" s="1594"/>
      <c r="G1818" s="1459"/>
      <c r="H1818" s="1557"/>
      <c r="J1818" s="1548"/>
      <c r="K1818" s="1591"/>
    </row>
    <row r="1819" spans="1:11" s="1541" customFormat="1">
      <c r="A1819" s="1518"/>
      <c r="B1819" s="1518"/>
      <c r="C1819" s="1522"/>
      <c r="D1819" s="1554" t="s">
        <v>5437</v>
      </c>
      <c r="E1819" s="1545"/>
      <c r="F1819" s="1594"/>
      <c r="G1819" s="1459"/>
      <c r="H1819" s="1557"/>
      <c r="J1819" s="1548"/>
      <c r="K1819" s="1591"/>
    </row>
    <row r="1820" spans="1:11" s="1541" customFormat="1">
      <c r="A1820" s="1518"/>
      <c r="B1820" s="1518"/>
      <c r="C1820" s="1522"/>
      <c r="D1820" s="1554" t="s">
        <v>5438</v>
      </c>
      <c r="E1820" s="1545"/>
      <c r="F1820" s="1594"/>
      <c r="G1820" s="1459"/>
      <c r="H1820" s="1557"/>
      <c r="J1820" s="1548"/>
      <c r="K1820" s="1591"/>
    </row>
    <row r="1821" spans="1:11" s="1541" customFormat="1">
      <c r="A1821" s="1518"/>
      <c r="B1821" s="1518"/>
      <c r="C1821" s="1522"/>
      <c r="D1821" s="1554" t="s">
        <v>5439</v>
      </c>
      <c r="E1821" s="1545"/>
      <c r="F1821" s="1594"/>
      <c r="G1821" s="1459"/>
      <c r="H1821" s="1557"/>
      <c r="J1821" s="1548"/>
      <c r="K1821" s="1591"/>
    </row>
    <row r="1822" spans="1:11" s="1541" customFormat="1">
      <c r="A1822" s="1518"/>
      <c r="B1822" s="1518"/>
      <c r="C1822" s="1522"/>
      <c r="D1822" s="1554" t="s">
        <v>5440</v>
      </c>
      <c r="E1822" s="1545"/>
      <c r="F1822" s="1594"/>
      <c r="G1822" s="1459"/>
      <c r="H1822" s="1557"/>
      <c r="J1822" s="1548"/>
      <c r="K1822" s="1591"/>
    </row>
    <row r="1823" spans="1:11" s="1541" customFormat="1">
      <c r="A1823" s="1518"/>
      <c r="B1823" s="1518"/>
      <c r="C1823" s="1522"/>
      <c r="D1823" s="1554" t="s">
        <v>5441</v>
      </c>
      <c r="E1823" s="1545"/>
      <c r="F1823" s="1594"/>
      <c r="G1823" s="1459"/>
      <c r="H1823" s="1557"/>
      <c r="J1823" s="1548"/>
      <c r="K1823" s="1591"/>
    </row>
    <row r="1824" spans="1:11" s="1541" customFormat="1">
      <c r="A1824" s="1518"/>
      <c r="B1824" s="1518"/>
      <c r="C1824" s="1522" t="s">
        <v>55</v>
      </c>
      <c r="D1824" s="1554"/>
      <c r="E1824" s="1545" t="s">
        <v>2243</v>
      </c>
      <c r="F1824" s="1545">
        <v>1</v>
      </c>
      <c r="G1824" s="1461"/>
      <c r="H1824" s="1557">
        <f>SUM(F1824*G1824)</f>
        <v>0</v>
      </c>
      <c r="J1824" s="1548"/>
      <c r="K1824" s="1591"/>
    </row>
    <row r="1825" spans="1:11" s="1541" customFormat="1">
      <c r="A1825" s="1518"/>
      <c r="B1825" s="1518"/>
      <c r="C1825" s="1522"/>
      <c r="D1825" s="1554"/>
      <c r="E1825" s="1545"/>
      <c r="F1825" s="1594"/>
      <c r="G1825" s="1459"/>
      <c r="H1825" s="1557"/>
      <c r="J1825" s="1548"/>
      <c r="K1825" s="1591"/>
    </row>
    <row r="1826" spans="1:11" s="1541" customFormat="1">
      <c r="A1826" s="1518"/>
      <c r="B1826" s="1518"/>
      <c r="C1826" s="1519" t="s">
        <v>4635</v>
      </c>
      <c r="D1826" s="1516" t="s">
        <v>5442</v>
      </c>
      <c r="E1826" s="1545"/>
      <c r="F1826" s="1594"/>
      <c r="G1826" s="1459"/>
      <c r="H1826" s="1557"/>
      <c r="J1826" s="1548"/>
      <c r="K1826" s="1591"/>
    </row>
    <row r="1827" spans="1:11" s="1541" customFormat="1" ht="38.25">
      <c r="A1827" s="1518" t="str">
        <f>A1817</f>
        <v>H.</v>
      </c>
      <c r="B1827" s="1518" t="str">
        <f t="shared" ref="B1827" si="81">B1817</f>
        <v>3.</v>
      </c>
      <c r="C1827" s="1518">
        <f>C1817+1</f>
        <v>172</v>
      </c>
      <c r="D1827" s="1554" t="s">
        <v>5443</v>
      </c>
      <c r="E1827" s="1545" t="s">
        <v>1160</v>
      </c>
      <c r="F1827" s="1594">
        <v>2180</v>
      </c>
      <c r="G1827" s="1461"/>
      <c r="H1827" s="1557">
        <f>SUM(F1827*G1827)</f>
        <v>0</v>
      </c>
      <c r="J1827" s="1548"/>
      <c r="K1827" s="1591"/>
    </row>
    <row r="1828" spans="1:11">
      <c r="D1828" s="1554"/>
      <c r="F1828" s="1594"/>
      <c r="G1828" s="1459"/>
      <c r="H1828" s="1557"/>
    </row>
    <row r="1829" spans="1:11" ht="63.75">
      <c r="A1829" s="1518" t="str">
        <f>A1827</f>
        <v>H.</v>
      </c>
      <c r="B1829" s="1518" t="str">
        <f t="shared" ref="B1829" si="82">B1827</f>
        <v>3.</v>
      </c>
      <c r="C1829" s="1518">
        <f>C1827+1</f>
        <v>173</v>
      </c>
      <c r="D1829" s="1554" t="s">
        <v>5444</v>
      </c>
      <c r="E1829" s="1545" t="s">
        <v>34</v>
      </c>
      <c r="F1829" s="1545">
        <v>42</v>
      </c>
      <c r="G1829" s="1461"/>
      <c r="H1829" s="1557">
        <f>SUM(F1829*G1829)</f>
        <v>0</v>
      </c>
    </row>
    <row r="1830" spans="1:11">
      <c r="D1830" s="1516"/>
      <c r="F1830" s="1594"/>
      <c r="G1830" s="1459"/>
      <c r="H1830" s="1557"/>
    </row>
    <row r="1831" spans="1:11" ht="51">
      <c r="A1831" s="1518" t="str">
        <f>A1829</f>
        <v>H.</v>
      </c>
      <c r="B1831" s="1518" t="str">
        <f t="shared" ref="B1831" si="83">B1829</f>
        <v>3.</v>
      </c>
      <c r="C1831" s="1518">
        <f>C1829+1</f>
        <v>174</v>
      </c>
      <c r="D1831" s="1554" t="s">
        <v>5445</v>
      </c>
      <c r="E1831" s="1545" t="s">
        <v>27</v>
      </c>
      <c r="F1831" s="1594">
        <v>4.4000000000000004</v>
      </c>
      <c r="G1831" s="1461"/>
      <c r="H1831" s="1557">
        <f>SUM(F1831*G1831)</f>
        <v>0</v>
      </c>
    </row>
    <row r="1832" spans="1:11">
      <c r="D1832" s="1554"/>
      <c r="F1832" s="1545"/>
      <c r="G1832" s="1459"/>
      <c r="H1832" s="1557"/>
    </row>
    <row r="1833" spans="1:11">
      <c r="C1833" s="1519" t="s">
        <v>4635</v>
      </c>
      <c r="D1833" s="1516" t="s">
        <v>5446</v>
      </c>
      <c r="F1833" s="1594"/>
      <c r="G1833" s="1459"/>
      <c r="H1833" s="1557"/>
    </row>
    <row r="1834" spans="1:11" ht="63.75">
      <c r="A1834" s="1518" t="str">
        <f>A1831</f>
        <v>H.</v>
      </c>
      <c r="B1834" s="1518" t="str">
        <f t="shared" ref="B1834" si="84">B1831</f>
        <v>3.</v>
      </c>
      <c r="C1834" s="1518">
        <f>C1831+1</f>
        <v>175</v>
      </c>
      <c r="D1834" s="1554" t="s">
        <v>5447</v>
      </c>
      <c r="E1834" s="1545" t="s">
        <v>2243</v>
      </c>
      <c r="F1834" s="1545">
        <v>1</v>
      </c>
      <c r="G1834" s="1461"/>
      <c r="H1834" s="1557">
        <f>SUM(F1834*G1834)</f>
        <v>0</v>
      </c>
    </row>
    <row r="1835" spans="1:11">
      <c r="D1835" s="1516"/>
      <c r="F1835" s="1545"/>
      <c r="G1835" s="1459"/>
      <c r="H1835" s="1557"/>
    </row>
    <row r="1836" spans="1:11" ht="38.25">
      <c r="A1836" s="1518" t="str">
        <f>A1834</f>
        <v>H.</v>
      </c>
      <c r="B1836" s="1518" t="str">
        <f t="shared" ref="B1836" si="85">B1834</f>
        <v>3.</v>
      </c>
      <c r="C1836" s="1518">
        <f>C1834+1</f>
        <v>176</v>
      </c>
      <c r="D1836" s="1554" t="s">
        <v>5448</v>
      </c>
      <c r="E1836" s="1545" t="s">
        <v>2243</v>
      </c>
      <c r="F1836" s="1545">
        <v>1</v>
      </c>
      <c r="G1836" s="1461"/>
      <c r="H1836" s="1557">
        <f>SUM(F1836*G1836)</f>
        <v>0</v>
      </c>
    </row>
    <row r="1837" spans="1:11">
      <c r="D1837" s="1516"/>
      <c r="F1837" s="1545"/>
      <c r="G1837" s="1459"/>
      <c r="H1837" s="1557"/>
    </row>
    <row r="1838" spans="1:11" ht="38.25">
      <c r="A1838" s="1518" t="str">
        <f>A1836</f>
        <v>H.</v>
      </c>
      <c r="B1838" s="1518" t="str">
        <f t="shared" ref="B1838" si="86">B1836</f>
        <v>3.</v>
      </c>
      <c r="C1838" s="1518">
        <f>C1836+1</f>
        <v>177</v>
      </c>
      <c r="D1838" s="1554" t="s">
        <v>5449</v>
      </c>
      <c r="E1838" s="1545" t="s">
        <v>2243</v>
      </c>
      <c r="F1838" s="1545">
        <v>1</v>
      </c>
      <c r="G1838" s="1461"/>
      <c r="H1838" s="1557">
        <f>SUM(F1838*G1838)</f>
        <v>0</v>
      </c>
    </row>
    <row r="1839" spans="1:11">
      <c r="D1839" s="1554"/>
      <c r="F1839" s="1545"/>
      <c r="G1839" s="1459"/>
      <c r="H1839" s="1557"/>
    </row>
    <row r="1840" spans="1:11" s="1517" customFormat="1">
      <c r="A1840" s="1518" t="str">
        <f>$A$1</f>
        <v>H.</v>
      </c>
      <c r="B1840" s="1518" t="str">
        <f>B1037</f>
        <v>3.</v>
      </c>
      <c r="C1840" s="1518"/>
      <c r="D1840" s="1514" t="str">
        <f>D1037</f>
        <v>ELEKTROINSTALACIJE</v>
      </c>
      <c r="E1840" s="1518"/>
      <c r="F1840" s="1569"/>
      <c r="G1840" s="1455" t="s">
        <v>2957</v>
      </c>
      <c r="H1840" s="1558">
        <f>SUM(H1040:H1839)</f>
        <v>0</v>
      </c>
    </row>
    <row r="1841" spans="1:11" s="1517" customFormat="1">
      <c r="A1841" s="1518"/>
      <c r="B1841" s="1518"/>
      <c r="C1841" s="1518"/>
      <c r="D1841" s="1514"/>
      <c r="E1841" s="1518"/>
      <c r="F1841" s="1569"/>
      <c r="G1841" s="1454"/>
      <c r="H1841" s="1558"/>
    </row>
    <row r="1842" spans="1:11">
      <c r="D1842" s="1554"/>
      <c r="F1842" s="1545"/>
      <c r="G1842" s="1459"/>
      <c r="H1842" s="1557"/>
    </row>
    <row r="1843" spans="1:11" s="1517" customFormat="1">
      <c r="A1843" s="1518" t="str">
        <f>A1</f>
        <v>H.</v>
      </c>
      <c r="B1843" s="1518" t="s">
        <v>981</v>
      </c>
      <c r="C1843" s="1522"/>
      <c r="D1843" s="1523" t="s">
        <v>5450</v>
      </c>
      <c r="E1843" s="1518"/>
      <c r="F1843" s="1539"/>
      <c r="G1843" s="1454"/>
      <c r="H1843" s="1540"/>
    </row>
    <row r="1844" spans="1:11" s="1541" customFormat="1">
      <c r="A1844" s="1518"/>
      <c r="B1844" s="1518"/>
      <c r="C1844" s="1522"/>
      <c r="D1844" s="1554"/>
      <c r="E1844" s="1545"/>
      <c r="F1844" s="1545"/>
      <c r="G1844" s="1459"/>
      <c r="H1844" s="1557"/>
      <c r="J1844" s="1548"/>
      <c r="K1844" s="1591"/>
    </row>
    <row r="1845" spans="1:11" s="1541" customFormat="1" ht="25.5">
      <c r="A1845" s="1518"/>
      <c r="B1845" s="1518"/>
      <c r="C1845" s="1522"/>
      <c r="D1845" s="1554" t="s">
        <v>5451</v>
      </c>
      <c r="E1845" s="1545"/>
      <c r="F1845" s="1545"/>
      <c r="G1845" s="1459"/>
      <c r="H1845" s="1557"/>
      <c r="J1845" s="1548"/>
      <c r="K1845" s="1591"/>
    </row>
    <row r="1846" spans="1:11" s="1541" customFormat="1">
      <c r="A1846" s="1518"/>
      <c r="B1846" s="1518"/>
      <c r="C1846" s="1522"/>
      <c r="D1846" s="1554"/>
      <c r="E1846" s="1545"/>
      <c r="F1846" s="1545"/>
      <c r="G1846" s="1459"/>
      <c r="H1846" s="1557"/>
      <c r="J1846" s="1548"/>
      <c r="K1846" s="1591"/>
    </row>
    <row r="1847" spans="1:11" s="1541" customFormat="1">
      <c r="A1847" s="1518"/>
      <c r="B1847" s="1518"/>
      <c r="C1847" s="1522"/>
      <c r="D1847" s="1554"/>
      <c r="E1847" s="1545"/>
      <c r="F1847" s="1545"/>
      <c r="G1847" s="1459"/>
      <c r="H1847" s="1557"/>
      <c r="J1847" s="1548"/>
      <c r="K1847" s="1591"/>
    </row>
    <row r="1848" spans="1:11" s="1541" customFormat="1" ht="165.75">
      <c r="A1848" s="1518" t="str">
        <f>A1843</f>
        <v>H.</v>
      </c>
      <c r="B1848" s="1518" t="str">
        <f>B1843</f>
        <v>4.</v>
      </c>
      <c r="C1848" s="1518">
        <v>1</v>
      </c>
      <c r="D1848" s="1554" t="s">
        <v>5452</v>
      </c>
      <c r="E1848" s="1538"/>
      <c r="F1848" s="1538"/>
      <c r="G1848" s="1459"/>
      <c r="H1848" s="1557"/>
      <c r="J1848" s="1548"/>
      <c r="K1848" s="1591"/>
    </row>
    <row r="1849" spans="1:11" s="1541" customFormat="1">
      <c r="A1849" s="1518"/>
      <c r="B1849" s="1518"/>
      <c r="C1849" s="1522" t="s">
        <v>55</v>
      </c>
      <c r="D1849" s="1554"/>
      <c r="E1849" s="1545" t="s">
        <v>34</v>
      </c>
      <c r="F1849" s="1545">
        <v>1</v>
      </c>
      <c r="G1849" s="1461"/>
      <c r="H1849" s="1557">
        <f>SUM(F1849*G1849)</f>
        <v>0</v>
      </c>
      <c r="J1849" s="1548"/>
      <c r="K1849" s="1591"/>
    </row>
    <row r="1850" spans="1:11" s="1541" customFormat="1">
      <c r="A1850" s="1518"/>
      <c r="B1850" s="1518"/>
      <c r="C1850" s="1522"/>
      <c r="D1850" s="1554"/>
      <c r="E1850" s="1545"/>
      <c r="F1850" s="1594"/>
      <c r="G1850" s="1459"/>
      <c r="H1850" s="1557"/>
      <c r="J1850" s="1548"/>
      <c r="K1850" s="1591"/>
    </row>
    <row r="1851" spans="1:11" s="1541" customFormat="1" ht="204">
      <c r="A1851" s="1518" t="str">
        <f>A1848</f>
        <v>H.</v>
      </c>
      <c r="B1851" s="1518" t="str">
        <f t="shared" ref="B1851" si="87">B1848</f>
        <v>4.</v>
      </c>
      <c r="C1851" s="1518">
        <f>C1848+1</f>
        <v>2</v>
      </c>
      <c r="D1851" s="1554" t="s">
        <v>5453</v>
      </c>
      <c r="E1851" s="1545"/>
      <c r="F1851" s="1594"/>
      <c r="G1851" s="1459"/>
      <c r="H1851" s="1557"/>
      <c r="J1851" s="1548"/>
      <c r="K1851" s="1591"/>
    </row>
    <row r="1852" spans="1:11" s="1541" customFormat="1">
      <c r="A1852" s="1518"/>
      <c r="B1852" s="1518"/>
      <c r="C1852" s="1522"/>
      <c r="D1852" s="1572" t="s">
        <v>5386</v>
      </c>
      <c r="E1852" s="1545"/>
      <c r="F1852" s="1594"/>
      <c r="G1852" s="1459"/>
      <c r="H1852" s="1557"/>
      <c r="J1852" s="1548"/>
      <c r="K1852" s="1591"/>
    </row>
    <row r="1853" spans="1:11" s="1541" customFormat="1">
      <c r="A1853" s="1518"/>
      <c r="B1853" s="1518"/>
      <c r="C1853" s="1522" t="s">
        <v>55</v>
      </c>
      <c r="D1853" s="1554"/>
      <c r="E1853" s="1545" t="s">
        <v>34</v>
      </c>
      <c r="F1853" s="1545">
        <v>1</v>
      </c>
      <c r="G1853" s="1461"/>
      <c r="H1853" s="1557">
        <f>SUM(F1853*G1853)</f>
        <v>0</v>
      </c>
      <c r="J1853" s="1548"/>
      <c r="K1853" s="1591"/>
    </row>
    <row r="1854" spans="1:11" s="1541" customFormat="1">
      <c r="A1854" s="1518"/>
      <c r="B1854" s="1518"/>
      <c r="C1854" s="1522"/>
      <c r="D1854" s="1554"/>
      <c r="E1854" s="1545"/>
      <c r="F1854" s="1594"/>
      <c r="G1854" s="1459"/>
      <c r="H1854" s="1557"/>
      <c r="J1854" s="1548"/>
      <c r="K1854" s="1591"/>
    </row>
    <row r="1855" spans="1:11" s="1541" customFormat="1" ht="63.75">
      <c r="A1855" s="1518" t="str">
        <f>A1851</f>
        <v>H.</v>
      </c>
      <c r="B1855" s="1518" t="str">
        <f t="shared" ref="B1855" si="88">B1851</f>
        <v>4.</v>
      </c>
      <c r="C1855" s="1518">
        <f>C1851+1</f>
        <v>3</v>
      </c>
      <c r="D1855" s="1554" t="s">
        <v>5454</v>
      </c>
      <c r="E1855" s="1545" t="s">
        <v>34</v>
      </c>
      <c r="F1855" s="1545">
        <v>1</v>
      </c>
      <c r="G1855" s="1461"/>
      <c r="H1855" s="1557">
        <f>SUM(F1855*G1855)</f>
        <v>0</v>
      </c>
      <c r="J1855" s="1548"/>
      <c r="K1855" s="1591"/>
    </row>
    <row r="1856" spans="1:11" s="1541" customFormat="1">
      <c r="A1856" s="1518"/>
      <c r="B1856" s="1518"/>
      <c r="C1856" s="1522"/>
      <c r="D1856" s="1554"/>
      <c r="E1856" s="1545"/>
      <c r="F1856" s="1545"/>
      <c r="G1856" s="1459"/>
      <c r="H1856" s="1557"/>
      <c r="J1856" s="1548"/>
      <c r="K1856" s="1591"/>
    </row>
    <row r="1857" spans="1:11" s="1541" customFormat="1" ht="25.5">
      <c r="A1857" s="1518" t="str">
        <f>A1855</f>
        <v>H.</v>
      </c>
      <c r="B1857" s="1518" t="str">
        <f t="shared" ref="B1857" si="89">B1855</f>
        <v>4.</v>
      </c>
      <c r="C1857" s="1518">
        <f>C1855+1</f>
        <v>4</v>
      </c>
      <c r="D1857" s="1554" t="s">
        <v>5455</v>
      </c>
      <c r="E1857" s="1545" t="s">
        <v>34</v>
      </c>
      <c r="F1857" s="1545">
        <v>2</v>
      </c>
      <c r="G1857" s="1461"/>
      <c r="H1857" s="1557">
        <f>SUM(F1857*G1857)</f>
        <v>0</v>
      </c>
      <c r="J1857" s="1548"/>
      <c r="K1857" s="1591"/>
    </row>
    <row r="1858" spans="1:11" s="1541" customFormat="1">
      <c r="A1858" s="1518"/>
      <c r="B1858" s="1518"/>
      <c r="C1858" s="1522"/>
      <c r="D1858" s="1554"/>
      <c r="E1858" s="1545"/>
      <c r="F1858" s="1545"/>
      <c r="G1858" s="1459"/>
      <c r="H1858" s="1557"/>
      <c r="J1858" s="1548"/>
      <c r="K1858" s="1591"/>
    </row>
    <row r="1859" spans="1:11" s="1541" customFormat="1" ht="63.75">
      <c r="A1859" s="1518" t="str">
        <f>A1857</f>
        <v>H.</v>
      </c>
      <c r="B1859" s="1518" t="str">
        <f t="shared" ref="B1859" si="90">B1857</f>
        <v>4.</v>
      </c>
      <c r="C1859" s="1518">
        <f>C1857+1</f>
        <v>5</v>
      </c>
      <c r="D1859" s="1554" t="s">
        <v>5456</v>
      </c>
      <c r="E1859" s="1545" t="s">
        <v>34</v>
      </c>
      <c r="F1859" s="1545">
        <v>3</v>
      </c>
      <c r="G1859" s="1461"/>
      <c r="H1859" s="1557">
        <f>SUM(F1859*G1859)</f>
        <v>0</v>
      </c>
      <c r="J1859" s="1548"/>
      <c r="K1859" s="1591"/>
    </row>
    <row r="1860" spans="1:11" s="1541" customFormat="1">
      <c r="A1860" s="1518"/>
      <c r="B1860" s="1518"/>
      <c r="C1860" s="1522"/>
      <c r="D1860" s="1554"/>
      <c r="E1860" s="1545"/>
      <c r="F1860" s="1545"/>
      <c r="G1860" s="1459"/>
      <c r="H1860" s="1557"/>
      <c r="J1860" s="1548"/>
      <c r="K1860" s="1591"/>
    </row>
    <row r="1861" spans="1:11" s="1541" customFormat="1" ht="114.75">
      <c r="A1861" s="1518" t="str">
        <f>A1859</f>
        <v>H.</v>
      </c>
      <c r="B1861" s="1518" t="str">
        <f t="shared" ref="B1861" si="91">B1859</f>
        <v>4.</v>
      </c>
      <c r="C1861" s="1518">
        <f>C1859+1</f>
        <v>6</v>
      </c>
      <c r="D1861" s="1554" t="s">
        <v>5457</v>
      </c>
      <c r="E1861" s="1545" t="s">
        <v>34</v>
      </c>
      <c r="F1861" s="1545">
        <v>193</v>
      </c>
      <c r="G1861" s="1461"/>
      <c r="H1861" s="1557">
        <f>SUM(F1861*G1861)</f>
        <v>0</v>
      </c>
      <c r="J1861" s="1548"/>
      <c r="K1861" s="1591"/>
    </row>
    <row r="1862" spans="1:11" s="1541" customFormat="1">
      <c r="A1862" s="1518"/>
      <c r="B1862" s="1518"/>
      <c r="C1862" s="1522"/>
      <c r="D1862" s="1554"/>
      <c r="E1862" s="1545"/>
      <c r="F1862" s="1545"/>
      <c r="G1862" s="1459"/>
      <c r="H1862" s="1557"/>
      <c r="J1862" s="1548"/>
      <c r="K1862" s="1591"/>
    </row>
    <row r="1863" spans="1:11" s="1541" customFormat="1" ht="25.5">
      <c r="A1863" s="1518" t="str">
        <f>A1861</f>
        <v>H.</v>
      </c>
      <c r="B1863" s="1518" t="str">
        <f t="shared" ref="B1863" si="92">B1861</f>
        <v>4.</v>
      </c>
      <c r="C1863" s="1518">
        <f>C1861+1</f>
        <v>7</v>
      </c>
      <c r="D1863" s="1554" t="s">
        <v>5458</v>
      </c>
      <c r="E1863" s="1545" t="s">
        <v>34</v>
      </c>
      <c r="F1863" s="1545">
        <v>193</v>
      </c>
      <c r="G1863" s="1461"/>
      <c r="H1863" s="1557">
        <f>SUM(F1863*G1863)</f>
        <v>0</v>
      </c>
      <c r="J1863" s="1548"/>
      <c r="K1863" s="1591"/>
    </row>
    <row r="1864" spans="1:11" s="1541" customFormat="1">
      <c r="A1864" s="1518"/>
      <c r="B1864" s="1518"/>
      <c r="C1864" s="1522"/>
      <c r="D1864" s="1554"/>
      <c r="E1864" s="1545"/>
      <c r="F1864" s="1545"/>
      <c r="G1864" s="1459"/>
      <c r="H1864" s="1557"/>
      <c r="J1864" s="1548"/>
      <c r="K1864" s="1591"/>
    </row>
    <row r="1865" spans="1:11" s="1541" customFormat="1" ht="76.5">
      <c r="A1865" s="1518" t="str">
        <f>A1863</f>
        <v>H.</v>
      </c>
      <c r="B1865" s="1518" t="str">
        <f t="shared" ref="B1865" si="93">B1863</f>
        <v>4.</v>
      </c>
      <c r="C1865" s="1518">
        <f>C1863+1</f>
        <v>8</v>
      </c>
      <c r="D1865" s="1554" t="s">
        <v>5459</v>
      </c>
      <c r="E1865" s="1545" t="s">
        <v>34</v>
      </c>
      <c r="F1865" s="1545">
        <v>72</v>
      </c>
      <c r="G1865" s="1461"/>
      <c r="H1865" s="1557">
        <f>SUM(F1865*G1865)</f>
        <v>0</v>
      </c>
      <c r="J1865" s="1548"/>
      <c r="K1865" s="1591"/>
    </row>
    <row r="1866" spans="1:11" s="1541" customFormat="1">
      <c r="A1866" s="1518"/>
      <c r="B1866" s="1518"/>
      <c r="C1866" s="1522"/>
      <c r="D1866" s="1554"/>
      <c r="E1866" s="1545"/>
      <c r="F1866" s="1545"/>
      <c r="G1866" s="1459"/>
      <c r="H1866" s="1557"/>
      <c r="J1866" s="1548"/>
      <c r="K1866" s="1591"/>
    </row>
    <row r="1867" spans="1:11" s="1541" customFormat="1" ht="102">
      <c r="A1867" s="1518" t="str">
        <f>A1865</f>
        <v>H.</v>
      </c>
      <c r="B1867" s="1518" t="str">
        <f t="shared" ref="B1867" si="94">B1865</f>
        <v>4.</v>
      </c>
      <c r="C1867" s="1518">
        <f>C1865+1</f>
        <v>9</v>
      </c>
      <c r="D1867" s="1554" t="s">
        <v>5460</v>
      </c>
      <c r="E1867" s="1545" t="s">
        <v>34</v>
      </c>
      <c r="F1867" s="1545">
        <v>15</v>
      </c>
      <c r="G1867" s="1461"/>
      <c r="H1867" s="1557">
        <f>SUM(F1867*G1867)</f>
        <v>0</v>
      </c>
      <c r="J1867" s="1548"/>
      <c r="K1867" s="1591"/>
    </row>
    <row r="1868" spans="1:11" s="1541" customFormat="1">
      <c r="A1868" s="1518"/>
      <c r="B1868" s="1518"/>
      <c r="C1868" s="1522"/>
      <c r="D1868" s="1554"/>
      <c r="E1868" s="1545"/>
      <c r="F1868" s="1545"/>
      <c r="G1868" s="1459"/>
      <c r="H1868" s="1557"/>
      <c r="J1868" s="1548"/>
      <c r="K1868" s="1591"/>
    </row>
    <row r="1869" spans="1:11" s="1541" customFormat="1" ht="127.5">
      <c r="A1869" s="1518" t="str">
        <f>A1867</f>
        <v>H.</v>
      </c>
      <c r="B1869" s="1518" t="str">
        <f t="shared" ref="B1869" si="95">B1867</f>
        <v>4.</v>
      </c>
      <c r="C1869" s="1518">
        <f>C1867+1</f>
        <v>10</v>
      </c>
      <c r="D1869" s="1554" t="s">
        <v>5461</v>
      </c>
      <c r="E1869" s="1545" t="s">
        <v>34</v>
      </c>
      <c r="F1869" s="1545">
        <v>26</v>
      </c>
      <c r="G1869" s="1461"/>
      <c r="H1869" s="1557">
        <f>SUM(F1869*G1869)</f>
        <v>0</v>
      </c>
      <c r="J1869" s="1548"/>
      <c r="K1869" s="1591"/>
    </row>
    <row r="1870" spans="1:11" s="1541" customFormat="1">
      <c r="A1870" s="1518"/>
      <c r="B1870" s="1518"/>
      <c r="C1870" s="1522"/>
      <c r="D1870" s="1554"/>
      <c r="E1870" s="1545"/>
      <c r="F1870" s="1594"/>
      <c r="G1870" s="1459"/>
      <c r="H1870" s="1557"/>
      <c r="J1870" s="1548"/>
      <c r="K1870" s="1591"/>
    </row>
    <row r="1871" spans="1:11" s="1541" customFormat="1" ht="127.5">
      <c r="A1871" s="1518" t="str">
        <f>A1869</f>
        <v>H.</v>
      </c>
      <c r="B1871" s="1518" t="str">
        <f t="shared" ref="B1871" si="96">B1869</f>
        <v>4.</v>
      </c>
      <c r="C1871" s="1518">
        <f>C1869+1</f>
        <v>11</v>
      </c>
      <c r="D1871" s="1554" t="s">
        <v>5462</v>
      </c>
      <c r="E1871" s="1545" t="s">
        <v>34</v>
      </c>
      <c r="F1871" s="1545">
        <v>1</v>
      </c>
      <c r="G1871" s="1461"/>
      <c r="H1871" s="1557">
        <f>SUM(F1871*G1871)</f>
        <v>0</v>
      </c>
      <c r="J1871" s="1548"/>
      <c r="K1871" s="1591"/>
    </row>
    <row r="1872" spans="1:11" s="1541" customFormat="1">
      <c r="A1872" s="1518"/>
      <c r="B1872" s="1518"/>
      <c r="C1872" s="1522"/>
      <c r="D1872" s="1554"/>
      <c r="E1872" s="1545"/>
      <c r="F1872" s="1594"/>
      <c r="G1872" s="1459"/>
      <c r="H1872" s="1557"/>
      <c r="J1872" s="1548"/>
      <c r="K1872" s="1591"/>
    </row>
    <row r="1873" spans="1:11" s="1541" customFormat="1" ht="114.75">
      <c r="A1873" s="1518" t="str">
        <f>A1871</f>
        <v>H.</v>
      </c>
      <c r="B1873" s="1518" t="str">
        <f t="shared" ref="B1873" si="97">B1871</f>
        <v>4.</v>
      </c>
      <c r="C1873" s="1518">
        <f>C1871+1</f>
        <v>12</v>
      </c>
      <c r="D1873" s="1554" t="s">
        <v>5463</v>
      </c>
      <c r="E1873" s="1545" t="s">
        <v>34</v>
      </c>
      <c r="F1873" s="1545">
        <v>7</v>
      </c>
      <c r="G1873" s="1461"/>
      <c r="H1873" s="1557">
        <f>SUM(F1873*G1873)</f>
        <v>0</v>
      </c>
      <c r="J1873" s="1548"/>
      <c r="K1873" s="1591"/>
    </row>
    <row r="1874" spans="1:11" s="1541" customFormat="1">
      <c r="A1874" s="1518"/>
      <c r="B1874" s="1518"/>
      <c r="C1874" s="1522"/>
      <c r="D1874" s="1554"/>
      <c r="E1874" s="1545"/>
      <c r="F1874" s="1594"/>
      <c r="G1874" s="1459"/>
      <c r="H1874" s="1557"/>
      <c r="J1874" s="1548"/>
      <c r="K1874" s="1591"/>
    </row>
    <row r="1875" spans="1:11" s="1541" customFormat="1" ht="114.75">
      <c r="A1875" s="1518" t="str">
        <f>A1873</f>
        <v>H.</v>
      </c>
      <c r="B1875" s="1518" t="str">
        <f t="shared" ref="B1875" si="98">B1873</f>
        <v>4.</v>
      </c>
      <c r="C1875" s="1518">
        <f>C1873+1</f>
        <v>13</v>
      </c>
      <c r="D1875" s="1554" t="s">
        <v>5464</v>
      </c>
      <c r="E1875" s="1545" t="s">
        <v>34</v>
      </c>
      <c r="F1875" s="1545">
        <v>21</v>
      </c>
      <c r="G1875" s="1461"/>
      <c r="H1875" s="1557">
        <f>SUM(F1875*G1875)</f>
        <v>0</v>
      </c>
      <c r="J1875" s="1548"/>
      <c r="K1875" s="1591"/>
    </row>
    <row r="1876" spans="1:11" s="1541" customFormat="1">
      <c r="A1876" s="1518"/>
      <c r="B1876" s="1518"/>
      <c r="C1876" s="1522"/>
      <c r="D1876" s="1554"/>
      <c r="E1876" s="1545"/>
      <c r="F1876" s="1545"/>
      <c r="G1876" s="1459"/>
      <c r="H1876" s="1557"/>
      <c r="J1876" s="1548"/>
      <c r="K1876" s="1591"/>
    </row>
    <row r="1877" spans="1:11" s="1541" customFormat="1" ht="25.5">
      <c r="A1877" s="1518" t="str">
        <f>A1875</f>
        <v>H.</v>
      </c>
      <c r="B1877" s="1518" t="str">
        <f t="shared" ref="B1877" si="99">B1875</f>
        <v>4.</v>
      </c>
      <c r="C1877" s="1518">
        <f>C1875+1</f>
        <v>14</v>
      </c>
      <c r="D1877" s="1554" t="s">
        <v>5465</v>
      </c>
      <c r="E1877" s="1545" t="s">
        <v>34</v>
      </c>
      <c r="F1877" s="1545">
        <v>1</v>
      </c>
      <c r="G1877" s="1461"/>
      <c r="H1877" s="1557">
        <f>SUM(F1877*G1877)</f>
        <v>0</v>
      </c>
      <c r="J1877" s="1548"/>
      <c r="K1877" s="1591"/>
    </row>
    <row r="1878" spans="1:11" s="1541" customFormat="1">
      <c r="A1878" s="1518"/>
      <c r="B1878" s="1518"/>
      <c r="C1878" s="1522"/>
      <c r="D1878" s="1554"/>
      <c r="E1878" s="1545"/>
      <c r="F1878" s="1545"/>
      <c r="G1878" s="1459"/>
      <c r="H1878" s="1557"/>
      <c r="J1878" s="1548"/>
      <c r="K1878" s="1591"/>
    </row>
    <row r="1879" spans="1:11" s="1541" customFormat="1" ht="63.75">
      <c r="A1879" s="1518" t="str">
        <f>A1877</f>
        <v>H.</v>
      </c>
      <c r="B1879" s="1518" t="str">
        <f t="shared" ref="B1879" si="100">B1877</f>
        <v>4.</v>
      </c>
      <c r="C1879" s="1518">
        <f>C1877+1</f>
        <v>15</v>
      </c>
      <c r="D1879" s="1554" t="s">
        <v>5466</v>
      </c>
      <c r="E1879" s="1545" t="s">
        <v>34</v>
      </c>
      <c r="F1879" s="1545">
        <v>2</v>
      </c>
      <c r="G1879" s="1461"/>
      <c r="H1879" s="1557">
        <f>SUM(F1879*G1879)</f>
        <v>0</v>
      </c>
      <c r="J1879" s="1548"/>
      <c r="K1879" s="1591"/>
    </row>
    <row r="1880" spans="1:11" s="1541" customFormat="1">
      <c r="A1880" s="1518"/>
      <c r="B1880" s="1518"/>
      <c r="C1880" s="1522"/>
      <c r="D1880" s="1554"/>
      <c r="E1880" s="1545"/>
      <c r="F1880" s="1545"/>
      <c r="G1880" s="1459"/>
      <c r="H1880" s="1557"/>
      <c r="J1880" s="1548"/>
      <c r="K1880" s="1591"/>
    </row>
    <row r="1881" spans="1:11" s="1541" customFormat="1" ht="114.75">
      <c r="A1881" s="1518" t="str">
        <f>A1879</f>
        <v>H.</v>
      </c>
      <c r="B1881" s="1518" t="str">
        <f t="shared" ref="B1881" si="101">B1879</f>
        <v>4.</v>
      </c>
      <c r="C1881" s="1518">
        <f>C1879+1</f>
        <v>16</v>
      </c>
      <c r="D1881" s="1554" t="s">
        <v>5467</v>
      </c>
      <c r="E1881" s="1545" t="s">
        <v>34</v>
      </c>
      <c r="F1881" s="1545">
        <v>41</v>
      </c>
      <c r="G1881" s="1461"/>
      <c r="H1881" s="1557">
        <f>SUM(F1881*G1881)</f>
        <v>0</v>
      </c>
      <c r="J1881" s="1548"/>
      <c r="K1881" s="1591"/>
    </row>
    <row r="1882" spans="1:11" s="1541" customFormat="1">
      <c r="A1882" s="1518"/>
      <c r="B1882" s="1518"/>
      <c r="C1882" s="1522"/>
      <c r="D1882" s="1554"/>
      <c r="E1882" s="1545"/>
      <c r="F1882" s="1545"/>
      <c r="G1882" s="1459"/>
      <c r="H1882" s="1557"/>
      <c r="J1882" s="1548"/>
      <c r="K1882" s="1591"/>
    </row>
    <row r="1883" spans="1:11" s="1541" customFormat="1" ht="114.75">
      <c r="A1883" s="1518" t="str">
        <f>A1881</f>
        <v>H.</v>
      </c>
      <c r="B1883" s="1518" t="str">
        <f t="shared" ref="B1883" si="102">B1881</f>
        <v>4.</v>
      </c>
      <c r="C1883" s="1518">
        <f>C1881+1</f>
        <v>17</v>
      </c>
      <c r="D1883" s="1554" t="s">
        <v>5468</v>
      </c>
      <c r="E1883" s="1545" t="s">
        <v>34</v>
      </c>
      <c r="F1883" s="1545">
        <v>41</v>
      </c>
      <c r="G1883" s="1461"/>
      <c r="H1883" s="1557">
        <f>SUM(F1883*G1883)</f>
        <v>0</v>
      </c>
      <c r="J1883" s="1548"/>
      <c r="K1883" s="1591"/>
    </row>
    <row r="1884" spans="1:11" s="1541" customFormat="1">
      <c r="A1884" s="1518"/>
      <c r="B1884" s="1518"/>
      <c r="C1884" s="1522"/>
      <c r="D1884" s="1554"/>
      <c r="E1884" s="1545"/>
      <c r="F1884" s="1545"/>
      <c r="G1884" s="1459"/>
      <c r="H1884" s="1557"/>
      <c r="J1884" s="1548"/>
      <c r="K1884" s="1591"/>
    </row>
    <row r="1885" spans="1:11" s="1541" customFormat="1" ht="127.5">
      <c r="A1885" s="1518" t="str">
        <f>A1883</f>
        <v>H.</v>
      </c>
      <c r="B1885" s="1518" t="str">
        <f t="shared" ref="B1885" si="103">B1883</f>
        <v>4.</v>
      </c>
      <c r="C1885" s="1518">
        <f>C1883+1</f>
        <v>18</v>
      </c>
      <c r="D1885" s="1554" t="s">
        <v>5469</v>
      </c>
      <c r="E1885" s="1545" t="s">
        <v>34</v>
      </c>
      <c r="F1885" s="1545">
        <v>2</v>
      </c>
      <c r="G1885" s="1461"/>
      <c r="H1885" s="1557">
        <f>SUM(F1885*G1885)</f>
        <v>0</v>
      </c>
      <c r="J1885" s="1548"/>
      <c r="K1885" s="1591"/>
    </row>
    <row r="1886" spans="1:11" s="1541" customFormat="1">
      <c r="A1886" s="1518"/>
      <c r="B1886" s="1518"/>
      <c r="C1886" s="1522"/>
      <c r="D1886" s="1554"/>
      <c r="E1886" s="1545"/>
      <c r="F1886" s="1545"/>
      <c r="G1886" s="1459"/>
      <c r="H1886" s="1557"/>
      <c r="J1886" s="1548"/>
      <c r="K1886" s="1591"/>
    </row>
    <row r="1887" spans="1:11" s="1541" customFormat="1" ht="140.25">
      <c r="A1887" s="1518" t="str">
        <f>A1885</f>
        <v>H.</v>
      </c>
      <c r="B1887" s="1518" t="str">
        <f t="shared" ref="B1887" si="104">B1885</f>
        <v>4.</v>
      </c>
      <c r="C1887" s="1518">
        <f>C1885+1</f>
        <v>19</v>
      </c>
      <c r="D1887" s="1554" t="s">
        <v>5470</v>
      </c>
      <c r="E1887" s="1545" t="s">
        <v>34</v>
      </c>
      <c r="F1887" s="1545">
        <v>2</v>
      </c>
      <c r="G1887" s="1461"/>
      <c r="H1887" s="1557">
        <f>SUM(F1887*G1887)</f>
        <v>0</v>
      </c>
      <c r="J1887" s="1548"/>
      <c r="K1887" s="1591"/>
    </row>
    <row r="1888" spans="1:11" s="1541" customFormat="1">
      <c r="A1888" s="1518"/>
      <c r="B1888" s="1518"/>
      <c r="C1888" s="1522"/>
      <c r="D1888" s="1554"/>
      <c r="E1888" s="1545"/>
      <c r="F1888" s="1545"/>
      <c r="G1888" s="1459"/>
      <c r="H1888" s="1557"/>
      <c r="J1888" s="1548"/>
      <c r="K1888" s="1591"/>
    </row>
    <row r="1889" spans="1:11" s="1541" customFormat="1" ht="25.5">
      <c r="A1889" s="1518" t="str">
        <f>A1887</f>
        <v>H.</v>
      </c>
      <c r="B1889" s="1518" t="str">
        <f t="shared" ref="B1889" si="105">B1887</f>
        <v>4.</v>
      </c>
      <c r="C1889" s="1518">
        <f>C1887+1</f>
        <v>20</v>
      </c>
      <c r="D1889" s="1554" t="s">
        <v>5471</v>
      </c>
      <c r="E1889" s="1545" t="s">
        <v>34</v>
      </c>
      <c r="F1889" s="1545">
        <v>2</v>
      </c>
      <c r="G1889" s="1461"/>
      <c r="H1889" s="1557">
        <f>SUM(F1889*G1889)</f>
        <v>0</v>
      </c>
      <c r="J1889" s="1548"/>
      <c r="K1889" s="1591"/>
    </row>
    <row r="1890" spans="1:11" s="1541" customFormat="1">
      <c r="A1890" s="1518"/>
      <c r="B1890" s="1518"/>
      <c r="C1890" s="1522"/>
      <c r="D1890" s="1554"/>
      <c r="E1890" s="1545"/>
      <c r="F1890" s="1545"/>
      <c r="G1890" s="1459"/>
      <c r="H1890" s="1557"/>
      <c r="J1890" s="1548"/>
      <c r="K1890" s="1591"/>
    </row>
    <row r="1891" spans="1:11" s="1541" customFormat="1" ht="25.5">
      <c r="A1891" s="1518" t="str">
        <f>A1889</f>
        <v>H.</v>
      </c>
      <c r="B1891" s="1518" t="str">
        <f t="shared" ref="B1891" si="106">B1889</f>
        <v>4.</v>
      </c>
      <c r="C1891" s="1518">
        <f>C1889+1</f>
        <v>21</v>
      </c>
      <c r="D1891" s="1554" t="s">
        <v>5472</v>
      </c>
      <c r="E1891" s="1545" t="s">
        <v>34</v>
      </c>
      <c r="F1891" s="1545">
        <v>2</v>
      </c>
      <c r="G1891" s="1461"/>
      <c r="H1891" s="1557">
        <f>SUM(F1891*G1891)</f>
        <v>0</v>
      </c>
      <c r="J1891" s="1548"/>
      <c r="K1891" s="1591"/>
    </row>
    <row r="1892" spans="1:11" s="1541" customFormat="1">
      <c r="A1892" s="1518"/>
      <c r="B1892" s="1518"/>
      <c r="C1892" s="1522"/>
      <c r="D1892" s="1554"/>
      <c r="E1892" s="1545"/>
      <c r="F1892" s="1594"/>
      <c r="G1892" s="1459"/>
      <c r="H1892" s="1557"/>
      <c r="J1892" s="1548"/>
      <c r="K1892" s="1591"/>
    </row>
    <row r="1893" spans="1:11" s="1541" customFormat="1" ht="25.5">
      <c r="A1893" s="1518" t="str">
        <f>A1891</f>
        <v>H.</v>
      </c>
      <c r="B1893" s="1518" t="str">
        <f t="shared" ref="B1893" si="107">B1891</f>
        <v>4.</v>
      </c>
      <c r="C1893" s="1518">
        <f>C1891+1</f>
        <v>22</v>
      </c>
      <c r="D1893" s="1554" t="s">
        <v>5473</v>
      </c>
      <c r="E1893" s="1545" t="s">
        <v>2243</v>
      </c>
      <c r="F1893" s="1545">
        <v>1</v>
      </c>
      <c r="G1893" s="1461"/>
      <c r="H1893" s="1557">
        <f>SUM(F1893*G1893)</f>
        <v>0</v>
      </c>
      <c r="J1893" s="1548"/>
      <c r="K1893" s="1591"/>
    </row>
    <row r="1894" spans="1:11" s="1541" customFormat="1" ht="89.25">
      <c r="A1894" s="1518"/>
      <c r="B1894" s="1518"/>
      <c r="C1894" s="1522"/>
      <c r="D1894" s="1554" t="s">
        <v>5474</v>
      </c>
      <c r="E1894" s="1545"/>
      <c r="F1894" s="1545"/>
      <c r="G1894" s="1459"/>
      <c r="H1894" s="1557"/>
      <c r="J1894" s="1548"/>
      <c r="K1894" s="1591"/>
    </row>
    <row r="1895" spans="1:11" s="1541" customFormat="1">
      <c r="A1895" s="1518"/>
      <c r="B1895" s="1518"/>
      <c r="C1895" s="1522"/>
      <c r="D1895" s="1554"/>
      <c r="E1895" s="1545"/>
      <c r="F1895" s="1594"/>
      <c r="G1895" s="1459"/>
      <c r="H1895" s="1557"/>
      <c r="J1895" s="1548"/>
      <c r="K1895" s="1591"/>
    </row>
    <row r="1896" spans="1:11" s="1541" customFormat="1">
      <c r="A1896" s="1518" t="str">
        <f>A1893</f>
        <v>H.</v>
      </c>
      <c r="B1896" s="1518" t="str">
        <f t="shared" ref="B1896" si="108">B1893</f>
        <v>4.</v>
      </c>
      <c r="C1896" s="1518">
        <f>C1893+1</f>
        <v>23</v>
      </c>
      <c r="D1896" s="1554" t="s">
        <v>5475</v>
      </c>
      <c r="E1896" s="1545" t="s">
        <v>34</v>
      </c>
      <c r="F1896" s="1545">
        <v>4</v>
      </c>
      <c r="G1896" s="1461"/>
      <c r="H1896" s="1557">
        <f>SUM(F1896*G1896)</f>
        <v>0</v>
      </c>
      <c r="J1896" s="1548"/>
      <c r="K1896" s="1591"/>
    </row>
    <row r="1897" spans="1:11" s="1541" customFormat="1">
      <c r="A1897" s="1518"/>
      <c r="B1897" s="1518"/>
      <c r="C1897" s="1522"/>
      <c r="D1897" s="1554"/>
      <c r="E1897" s="1545"/>
      <c r="F1897" s="1545"/>
      <c r="G1897" s="1459"/>
      <c r="H1897" s="1557"/>
      <c r="J1897" s="1548"/>
      <c r="K1897" s="1591"/>
    </row>
    <row r="1898" spans="1:11" s="1541" customFormat="1">
      <c r="A1898" s="1518" t="str">
        <f>A1896</f>
        <v>H.</v>
      </c>
      <c r="B1898" s="1518" t="str">
        <f t="shared" ref="B1898" si="109">B1896</f>
        <v>4.</v>
      </c>
      <c r="C1898" s="1518">
        <f>C1896+1</f>
        <v>24</v>
      </c>
      <c r="D1898" s="1554" t="s">
        <v>5476</v>
      </c>
      <c r="E1898" s="1545" t="s">
        <v>34</v>
      </c>
      <c r="F1898" s="1545">
        <v>4</v>
      </c>
      <c r="G1898" s="1461"/>
      <c r="H1898" s="1557">
        <f>SUM(F1898*G1898)</f>
        <v>0</v>
      </c>
      <c r="J1898" s="1548"/>
      <c r="K1898" s="1591"/>
    </row>
    <row r="1899" spans="1:11" s="1541" customFormat="1">
      <c r="A1899" s="1518"/>
      <c r="B1899" s="1518"/>
      <c r="C1899" s="1522"/>
      <c r="D1899" s="1554"/>
      <c r="E1899" s="1545"/>
      <c r="F1899" s="1594"/>
      <c r="G1899" s="1459"/>
      <c r="H1899" s="1557"/>
      <c r="J1899" s="1548"/>
      <c r="K1899" s="1591"/>
    </row>
    <row r="1900" spans="1:11" ht="25.5">
      <c r="A1900" s="1518" t="str">
        <f>A1898</f>
        <v>H.</v>
      </c>
      <c r="B1900" s="1518" t="str">
        <f t="shared" ref="B1900" si="110">B1898</f>
        <v>4.</v>
      </c>
      <c r="C1900" s="1518">
        <f>C1898+1</f>
        <v>25</v>
      </c>
      <c r="D1900" s="1554" t="s">
        <v>5477</v>
      </c>
      <c r="E1900" s="1545" t="s">
        <v>1160</v>
      </c>
      <c r="F1900" s="1594">
        <v>5400</v>
      </c>
      <c r="G1900" s="1461"/>
      <c r="H1900" s="1557">
        <f>SUM(F1900*G1900)</f>
        <v>0</v>
      </c>
    </row>
    <row r="1901" spans="1:11">
      <c r="D1901" s="1554"/>
      <c r="F1901" s="1594"/>
      <c r="G1901" s="1459"/>
      <c r="H1901" s="1557"/>
    </row>
    <row r="1902" spans="1:11" ht="25.5">
      <c r="A1902" s="1518" t="str">
        <f>A1900</f>
        <v>H.</v>
      </c>
      <c r="B1902" s="1518" t="str">
        <f t="shared" ref="B1902" si="111">B1900</f>
        <v>4.</v>
      </c>
      <c r="C1902" s="1518">
        <f>C1900+1</f>
        <v>26</v>
      </c>
      <c r="D1902" s="1554" t="s">
        <v>5478</v>
      </c>
      <c r="E1902" s="1545" t="s">
        <v>1160</v>
      </c>
      <c r="F1902" s="1594">
        <v>120</v>
      </c>
      <c r="G1902" s="1461"/>
      <c r="H1902" s="1557">
        <f>SUM(F1902*G1902)</f>
        <v>0</v>
      </c>
    </row>
    <row r="1903" spans="1:11">
      <c r="D1903" s="1554"/>
      <c r="F1903" s="1594"/>
      <c r="G1903" s="1459"/>
      <c r="H1903" s="1557"/>
    </row>
    <row r="1904" spans="1:11" ht="38.25">
      <c r="A1904" s="1518" t="str">
        <f>A1902</f>
        <v>H.</v>
      </c>
      <c r="B1904" s="1518" t="str">
        <f t="shared" ref="B1904" si="112">B1902</f>
        <v>4.</v>
      </c>
      <c r="C1904" s="1518">
        <f>C1902+1</f>
        <v>27</v>
      </c>
      <c r="D1904" s="1554" t="s">
        <v>5479</v>
      </c>
      <c r="E1904" s="1545" t="s">
        <v>1160</v>
      </c>
      <c r="F1904" s="1594">
        <v>2250</v>
      </c>
      <c r="G1904" s="1461"/>
      <c r="H1904" s="1557">
        <f>SUM(F1904*G1904)</f>
        <v>0</v>
      </c>
    </row>
    <row r="1905" spans="1:11">
      <c r="D1905" s="1554"/>
      <c r="F1905" s="1594"/>
      <c r="G1905" s="1459"/>
      <c r="H1905" s="1557"/>
    </row>
    <row r="1906" spans="1:11" ht="25.5">
      <c r="A1906" s="1518" t="str">
        <f>A1904</f>
        <v>H.</v>
      </c>
      <c r="B1906" s="1518" t="str">
        <f t="shared" ref="B1906" si="113">B1904</f>
        <v>4.</v>
      </c>
      <c r="C1906" s="1518">
        <f>C1904+1</f>
        <v>28</v>
      </c>
      <c r="D1906" s="1554" t="s">
        <v>5480</v>
      </c>
      <c r="E1906" s="1545" t="s">
        <v>2243</v>
      </c>
      <c r="F1906" s="1545">
        <v>1</v>
      </c>
      <c r="G1906" s="1461"/>
      <c r="H1906" s="1557">
        <f>SUM(F1906*G1906)</f>
        <v>0</v>
      </c>
    </row>
    <row r="1907" spans="1:11">
      <c r="D1907" s="1554"/>
      <c r="F1907" s="1545"/>
      <c r="G1907" s="1459"/>
      <c r="H1907" s="1557"/>
    </row>
    <row r="1908" spans="1:11" ht="25.5">
      <c r="A1908" s="1518" t="str">
        <f>A1906</f>
        <v>H.</v>
      </c>
      <c r="B1908" s="1518" t="str">
        <f t="shared" ref="B1908" si="114">B1906</f>
        <v>4.</v>
      </c>
      <c r="C1908" s="1518">
        <f>C1906+1</f>
        <v>29</v>
      </c>
      <c r="D1908" s="1554" t="s">
        <v>5481</v>
      </c>
      <c r="E1908" s="1545" t="s">
        <v>2243</v>
      </c>
      <c r="F1908" s="1545">
        <v>1</v>
      </c>
      <c r="G1908" s="1461"/>
      <c r="H1908" s="1557">
        <f>SUM(F1908*G1908)</f>
        <v>0</v>
      </c>
    </row>
    <row r="1909" spans="1:11">
      <c r="D1909" s="1554"/>
      <c r="F1909" s="1545"/>
      <c r="G1909" s="1459"/>
      <c r="H1909" s="1557"/>
    </row>
    <row r="1910" spans="1:11" ht="25.5">
      <c r="A1910" s="1518" t="str">
        <f>A1908</f>
        <v>H.</v>
      </c>
      <c r="B1910" s="1518" t="str">
        <f t="shared" ref="B1910" si="115">B1908</f>
        <v>4.</v>
      </c>
      <c r="C1910" s="1518">
        <f>C1908+1</f>
        <v>30</v>
      </c>
      <c r="D1910" s="1554" t="s">
        <v>5482</v>
      </c>
      <c r="E1910" s="1545" t="s">
        <v>2243</v>
      </c>
      <c r="F1910" s="1545">
        <v>1</v>
      </c>
      <c r="G1910" s="1461"/>
      <c r="H1910" s="1557">
        <f>SUM(F1910*G1910)</f>
        <v>0</v>
      </c>
    </row>
    <row r="1911" spans="1:11">
      <c r="D1911" s="1554"/>
      <c r="F1911" s="1545"/>
      <c r="G1911" s="1459"/>
      <c r="H1911" s="1557"/>
    </row>
    <row r="1912" spans="1:11" ht="38.25">
      <c r="A1912" s="1518" t="str">
        <f>A1910</f>
        <v>H.</v>
      </c>
      <c r="B1912" s="1518" t="str">
        <f t="shared" ref="B1912" si="116">B1910</f>
        <v>4.</v>
      </c>
      <c r="C1912" s="1518">
        <f>C1910+1</f>
        <v>31</v>
      </c>
      <c r="D1912" s="1554" t="s">
        <v>5483</v>
      </c>
      <c r="E1912" s="1545" t="s">
        <v>2243</v>
      </c>
      <c r="F1912" s="1545">
        <v>1</v>
      </c>
      <c r="G1912" s="1461"/>
      <c r="H1912" s="1557">
        <f>SUM(F1912*G1912)</f>
        <v>0</v>
      </c>
    </row>
    <row r="1913" spans="1:11">
      <c r="D1913" s="1554"/>
      <c r="F1913" s="1545"/>
      <c r="G1913" s="1459"/>
      <c r="H1913" s="1557"/>
    </row>
    <row r="1914" spans="1:11" s="1517" customFormat="1">
      <c r="A1914" s="1518" t="str">
        <f>$A$1</f>
        <v>H.</v>
      </c>
      <c r="B1914" s="1518" t="str">
        <f>B1843</f>
        <v>4.</v>
      </c>
      <c r="C1914" s="1518"/>
      <c r="D1914" s="1514" t="str">
        <f>D1843</f>
        <v>INSTALACIJA VATRODOJAVA</v>
      </c>
      <c r="E1914" s="1518"/>
      <c r="F1914" s="1569"/>
      <c r="G1914" s="1455" t="s">
        <v>2957</v>
      </c>
      <c r="H1914" s="1558">
        <f>SUM(H1848:H1913)</f>
        <v>0</v>
      </c>
    </row>
    <row r="1915" spans="1:11">
      <c r="D1915" s="1554"/>
      <c r="F1915" s="1545"/>
      <c r="G1915" s="1459"/>
      <c r="H1915" s="1557"/>
    </row>
    <row r="1916" spans="1:11">
      <c r="D1916" s="1523"/>
      <c r="E1916" s="1522"/>
      <c r="F1916" s="1550"/>
      <c r="G1916" s="1458"/>
      <c r="H1916" s="1540"/>
      <c r="I1916" s="1538"/>
      <c r="J1916" s="1538"/>
      <c r="K1916" s="1538"/>
    </row>
    <row r="1917" spans="1:11">
      <c r="D1917" s="1523" t="s">
        <v>5484</v>
      </c>
    </row>
    <row r="1918" spans="1:11">
      <c r="D1918" s="1523"/>
    </row>
    <row r="1919" spans="1:11">
      <c r="A1919" s="1518" t="str">
        <f>$A$1</f>
        <v>H.</v>
      </c>
      <c r="D1919" s="1523" t="str">
        <f>D1</f>
        <v>ELEKTROTEHNIČKE INSTALACIJE</v>
      </c>
      <c r="E1919" s="1518"/>
      <c r="F1919" s="1539"/>
      <c r="G1919" s="1462"/>
      <c r="H1919" s="1573"/>
      <c r="I1919" s="1538"/>
      <c r="J1919" s="1538"/>
      <c r="K1919" s="1538"/>
    </row>
    <row r="1920" spans="1:11">
      <c r="D1920" s="1523"/>
    </row>
    <row r="1921" spans="1:12">
      <c r="A1921" s="1545" t="str">
        <f>$A$1</f>
        <v>H.</v>
      </c>
      <c r="B1921" s="1545" t="str">
        <f>B14</f>
        <v>1.</v>
      </c>
      <c r="C1921" s="1563"/>
      <c r="D1921" s="1574" t="str">
        <f>D14</f>
        <v>PRIPREMNI RADOVI</v>
      </c>
      <c r="H1921" s="1575">
        <f>H29</f>
        <v>0</v>
      </c>
      <c r="I1921" s="1576"/>
    </row>
    <row r="1922" spans="1:12">
      <c r="A1922" s="1545" t="str">
        <f>$A$1</f>
        <v>H.</v>
      </c>
      <c r="B1922" s="1545" t="str">
        <f>B32</f>
        <v>2.</v>
      </c>
      <c r="C1922" s="1563"/>
      <c r="D1922" s="1574" t="str">
        <f>D32</f>
        <v xml:space="preserve">RASVJETNA TIJELA I ELEMENTI UPRAVLJANJA </v>
      </c>
      <c r="H1922" s="1575">
        <f>H1034</f>
        <v>0</v>
      </c>
      <c r="I1922" s="1576"/>
    </row>
    <row r="1923" spans="1:12">
      <c r="A1923" s="1545" t="str">
        <f>$A$1</f>
        <v>H.</v>
      </c>
      <c r="B1923" s="1545" t="str">
        <f>B1037</f>
        <v>3.</v>
      </c>
      <c r="C1923" s="1563"/>
      <c r="D1923" s="1577" t="str">
        <f>D1037</f>
        <v>ELEKTROINSTALACIJE</v>
      </c>
      <c r="H1923" s="1575">
        <f>H1840</f>
        <v>0</v>
      </c>
      <c r="I1923" s="1576"/>
    </row>
    <row r="1924" spans="1:12">
      <c r="A1924" s="1545" t="str">
        <f>$A$1</f>
        <v>H.</v>
      </c>
      <c r="B1924" s="1545" t="str">
        <f>B1843</f>
        <v>4.</v>
      </c>
      <c r="C1924" s="1563"/>
      <c r="D1924" s="1577" t="str">
        <f>D1843</f>
        <v>INSTALACIJA VATRODOJAVA</v>
      </c>
      <c r="H1924" s="1575">
        <f>H1914</f>
        <v>0</v>
      </c>
      <c r="I1924" s="1576"/>
    </row>
    <row r="1926" spans="1:12">
      <c r="A1926" s="1578" t="str">
        <f>$A$1</f>
        <v>H.</v>
      </c>
      <c r="B1926" s="1578"/>
      <c r="C1926" s="1579"/>
      <c r="D1926" s="1580" t="s">
        <v>5485</v>
      </c>
      <c r="E1926" s="1581"/>
      <c r="F1926" s="1581"/>
      <c r="G1926" s="1463"/>
      <c r="H1926" s="1582">
        <f>SUM(H1921:H1925)</f>
        <v>0</v>
      </c>
    </row>
    <row r="1929" spans="1:12">
      <c r="D1929" s="1572"/>
    </row>
    <row r="1930" spans="1:12" s="1572" customFormat="1">
      <c r="A1930" s="1522"/>
      <c r="B1930" s="1522"/>
      <c r="C1930" s="1522"/>
      <c r="E1930" s="1545"/>
      <c r="F1930" s="1546"/>
      <c r="G1930" s="1457"/>
      <c r="H1930" s="1547"/>
      <c r="I1930" s="1541"/>
      <c r="J1930" s="1548"/>
      <c r="K1930" s="1591"/>
      <c r="L1930" s="1538"/>
    </row>
    <row r="1931" spans="1:12" s="1572" customFormat="1">
      <c r="A1931" s="1522"/>
      <c r="B1931" s="1522"/>
      <c r="C1931" s="1522"/>
      <c r="D1931" s="1552"/>
      <c r="E1931" s="1545"/>
      <c r="F1931" s="1546"/>
      <c r="G1931" s="1457"/>
      <c r="H1931" s="1547"/>
      <c r="I1931" s="1541"/>
      <c r="J1931" s="1548"/>
      <c r="K1931" s="1591"/>
      <c r="L1931" s="1538"/>
    </row>
    <row r="1932" spans="1:12" s="1572" customFormat="1">
      <c r="A1932" s="1522"/>
      <c r="B1932" s="1522"/>
      <c r="C1932" s="1522"/>
      <c r="D1932" s="1552"/>
      <c r="E1932" s="1545"/>
      <c r="F1932" s="1546"/>
      <c r="G1932" s="1457"/>
      <c r="H1932" s="1547"/>
      <c r="I1932" s="1541"/>
      <c r="J1932" s="1548"/>
      <c r="K1932" s="1591"/>
      <c r="L1932" s="1538"/>
    </row>
    <row r="1933" spans="1:12" s="1572" customFormat="1">
      <c r="A1933" s="1522"/>
      <c r="B1933" s="1522"/>
      <c r="C1933" s="1522"/>
      <c r="D1933" s="1552"/>
      <c r="E1933" s="1545"/>
      <c r="F1933" s="1546"/>
      <c r="G1933" s="1457"/>
      <c r="H1933" s="1547"/>
      <c r="I1933" s="1541"/>
      <c r="J1933" s="1548"/>
      <c r="K1933" s="1591"/>
      <c r="L1933" s="1538"/>
    </row>
    <row r="1934" spans="1:12" s="1572" customFormat="1">
      <c r="A1934" s="1522"/>
      <c r="B1934" s="1522"/>
      <c r="C1934" s="1522"/>
      <c r="D1934" s="1552"/>
      <c r="E1934" s="1545"/>
      <c r="F1934" s="1546"/>
      <c r="G1934" s="1457"/>
      <c r="H1934" s="1547"/>
      <c r="I1934" s="1541"/>
      <c r="J1934" s="1548"/>
      <c r="K1934" s="1591"/>
      <c r="L1934" s="1538"/>
    </row>
    <row r="1935" spans="1:12" s="1572" customFormat="1">
      <c r="A1935" s="1522"/>
      <c r="B1935" s="1522"/>
      <c r="C1935" s="1522"/>
      <c r="D1935" s="1552"/>
      <c r="E1935" s="1545"/>
      <c r="F1935" s="1546"/>
      <c r="G1935" s="1457"/>
      <c r="H1935" s="1547"/>
      <c r="I1935" s="1541"/>
      <c r="J1935" s="1548"/>
      <c r="K1935" s="1591"/>
      <c r="L1935" s="1538"/>
    </row>
    <row r="1936" spans="1:12" s="1572" customFormat="1">
      <c r="A1936" s="1522"/>
      <c r="B1936" s="1522"/>
      <c r="C1936" s="1522"/>
      <c r="D1936" s="1552"/>
      <c r="E1936" s="1545"/>
      <c r="F1936" s="1546"/>
      <c r="G1936" s="1457"/>
      <c r="H1936" s="1547"/>
      <c r="I1936" s="1541"/>
      <c r="J1936" s="1548"/>
      <c r="K1936" s="1591"/>
      <c r="L1936" s="1538"/>
    </row>
    <row r="1937" spans="1:12" s="1572" customFormat="1">
      <c r="A1937" s="1522"/>
      <c r="B1937" s="1522"/>
      <c r="C1937" s="1522"/>
      <c r="D1937" s="1552"/>
      <c r="E1937" s="1545"/>
      <c r="F1937" s="1546"/>
      <c r="G1937" s="1457"/>
      <c r="H1937" s="1547"/>
      <c r="I1937" s="1541"/>
      <c r="J1937" s="1548"/>
      <c r="K1937" s="1591"/>
      <c r="L1937" s="1538"/>
    </row>
    <row r="1938" spans="1:12" s="1572" customFormat="1">
      <c r="A1938" s="1522"/>
      <c r="B1938" s="1522"/>
      <c r="C1938" s="1522"/>
      <c r="D1938" s="1552"/>
      <c r="E1938" s="1545"/>
      <c r="F1938" s="1546"/>
      <c r="G1938" s="1457"/>
      <c r="H1938" s="1547"/>
      <c r="I1938" s="1541"/>
      <c r="J1938" s="1548"/>
      <c r="K1938" s="1591"/>
      <c r="L1938" s="1538"/>
    </row>
    <row r="1939" spans="1:12" s="1572" customFormat="1">
      <c r="A1939" s="1522"/>
      <c r="B1939" s="1522"/>
      <c r="C1939" s="1522"/>
      <c r="D1939" s="1552"/>
      <c r="E1939" s="1545"/>
      <c r="F1939" s="1546"/>
      <c r="G1939" s="1457"/>
      <c r="H1939" s="1547"/>
      <c r="I1939" s="1541"/>
      <c r="J1939" s="1548"/>
      <c r="K1939" s="1591"/>
      <c r="L1939" s="1538"/>
    </row>
    <row r="1940" spans="1:12" s="1572" customFormat="1">
      <c r="A1940" s="1522"/>
      <c r="B1940" s="1522"/>
      <c r="C1940" s="1522"/>
      <c r="D1940" s="1552"/>
      <c r="E1940" s="1545"/>
      <c r="F1940" s="1546"/>
      <c r="G1940" s="1457"/>
      <c r="H1940" s="1547"/>
      <c r="I1940" s="1541"/>
      <c r="J1940" s="1548"/>
      <c r="K1940" s="1591"/>
      <c r="L1940" s="1538"/>
    </row>
    <row r="1941" spans="1:12" s="1572" customFormat="1">
      <c r="A1941" s="1522"/>
      <c r="B1941" s="1522"/>
      <c r="C1941" s="1522"/>
      <c r="D1941" s="1552"/>
      <c r="E1941" s="1545"/>
      <c r="F1941" s="1546"/>
      <c r="G1941" s="1457"/>
      <c r="H1941" s="1547"/>
      <c r="I1941" s="1541"/>
      <c r="J1941" s="1548"/>
      <c r="K1941" s="1591"/>
      <c r="L1941" s="1538"/>
    </row>
    <row r="1942" spans="1:12" s="1572" customFormat="1">
      <c r="A1942" s="1522"/>
      <c r="B1942" s="1522"/>
      <c r="C1942" s="1522"/>
      <c r="D1942" s="1552"/>
      <c r="E1942" s="1545"/>
      <c r="F1942" s="1546"/>
      <c r="G1942" s="1457"/>
      <c r="H1942" s="1547"/>
      <c r="I1942" s="1541"/>
      <c r="J1942" s="1548"/>
      <c r="K1942" s="1591"/>
      <c r="L1942" s="1538"/>
    </row>
    <row r="1943" spans="1:12" s="1572" customFormat="1">
      <c r="A1943" s="1522"/>
      <c r="B1943" s="1522"/>
      <c r="C1943" s="1522"/>
      <c r="D1943" s="1552"/>
      <c r="E1943" s="1545"/>
      <c r="F1943" s="1546"/>
      <c r="G1943" s="1457"/>
      <c r="H1943" s="1547"/>
      <c r="I1943" s="1541"/>
      <c r="J1943" s="1548"/>
      <c r="K1943" s="1591"/>
      <c r="L1943" s="1538"/>
    </row>
    <row r="1944" spans="1:12" s="1572" customFormat="1">
      <c r="A1944" s="1522"/>
      <c r="B1944" s="1522"/>
      <c r="C1944" s="1522"/>
      <c r="D1944" s="1552"/>
      <c r="E1944" s="1545"/>
      <c r="F1944" s="1546"/>
      <c r="G1944" s="1457"/>
      <c r="H1944" s="1547"/>
      <c r="I1944" s="1541"/>
      <c r="J1944" s="1548"/>
      <c r="K1944" s="1591"/>
      <c r="L1944" s="1538"/>
    </row>
    <row r="1945" spans="1:12" s="1572" customFormat="1">
      <c r="A1945" s="1522"/>
      <c r="B1945" s="1522"/>
      <c r="C1945" s="1522"/>
      <c r="D1945" s="1552"/>
      <c r="E1945" s="1545"/>
      <c r="F1945" s="1546"/>
      <c r="G1945" s="1457"/>
      <c r="H1945" s="1547"/>
      <c r="I1945" s="1541"/>
      <c r="J1945" s="1548"/>
      <c r="K1945" s="1591"/>
      <c r="L1945" s="1538"/>
    </row>
    <row r="1946" spans="1:12" s="1572" customFormat="1">
      <c r="A1946" s="1522"/>
      <c r="B1946" s="1522"/>
      <c r="C1946" s="1522"/>
      <c r="D1946" s="1552"/>
      <c r="E1946" s="1545"/>
      <c r="F1946" s="1546"/>
      <c r="G1946" s="1457"/>
      <c r="H1946" s="1547"/>
      <c r="I1946" s="1541"/>
      <c r="J1946" s="1548"/>
      <c r="K1946" s="1591"/>
      <c r="L1946" s="1538"/>
    </row>
    <row r="1947" spans="1:12" s="1572" customFormat="1">
      <c r="A1947" s="1522"/>
      <c r="B1947" s="1522"/>
      <c r="C1947" s="1522"/>
      <c r="D1947" s="1552"/>
      <c r="E1947" s="1545"/>
      <c r="F1947" s="1546"/>
      <c r="G1947" s="1457"/>
      <c r="H1947" s="1547"/>
      <c r="I1947" s="1541"/>
      <c r="J1947" s="1548"/>
      <c r="K1947" s="1591"/>
      <c r="L1947" s="1538"/>
    </row>
    <row r="1948" spans="1:12" s="1572" customFormat="1">
      <c r="A1948" s="1522"/>
      <c r="B1948" s="1522"/>
      <c r="C1948" s="1522"/>
      <c r="D1948" s="1552"/>
      <c r="E1948" s="1545"/>
      <c r="F1948" s="1546"/>
      <c r="G1948" s="1457"/>
      <c r="H1948" s="1547"/>
      <c r="I1948" s="1541"/>
      <c r="J1948" s="1548"/>
      <c r="K1948" s="1591"/>
      <c r="L1948" s="1538"/>
    </row>
    <row r="1949" spans="1:12" s="1572" customFormat="1">
      <c r="A1949" s="1522"/>
      <c r="B1949" s="1522"/>
      <c r="C1949" s="1522"/>
      <c r="D1949" s="1552"/>
      <c r="E1949" s="1545"/>
      <c r="F1949" s="1546"/>
      <c r="G1949" s="1457"/>
      <c r="H1949" s="1547"/>
      <c r="I1949" s="1541"/>
      <c r="J1949" s="1548"/>
      <c r="K1949" s="1591"/>
      <c r="L1949" s="1538"/>
    </row>
    <row r="1950" spans="1:12" s="1572" customFormat="1">
      <c r="A1950" s="1522"/>
      <c r="B1950" s="1522"/>
      <c r="C1950" s="1522"/>
      <c r="D1950" s="1552"/>
      <c r="E1950" s="1545"/>
      <c r="F1950" s="1546"/>
      <c r="G1950" s="1457"/>
      <c r="H1950" s="1547"/>
      <c r="I1950" s="1541"/>
      <c r="J1950" s="1548"/>
      <c r="K1950" s="1591"/>
      <c r="L1950" s="1538"/>
    </row>
    <row r="1951" spans="1:12" s="1572" customFormat="1">
      <c r="A1951" s="1522"/>
      <c r="B1951" s="1522"/>
      <c r="C1951" s="1522"/>
      <c r="D1951" s="1552"/>
      <c r="E1951" s="1545"/>
      <c r="F1951" s="1546"/>
      <c r="G1951" s="1457"/>
      <c r="H1951" s="1547"/>
      <c r="I1951" s="1541"/>
      <c r="J1951" s="1548"/>
      <c r="K1951" s="1591"/>
      <c r="L1951" s="1538"/>
    </row>
    <row r="1952" spans="1:12" s="1572" customFormat="1">
      <c r="A1952" s="1522"/>
      <c r="B1952" s="1522"/>
      <c r="C1952" s="1522"/>
      <c r="D1952" s="1552"/>
      <c r="E1952" s="1545"/>
      <c r="F1952" s="1546"/>
      <c r="G1952" s="1457"/>
      <c r="H1952" s="1547"/>
      <c r="I1952" s="1541"/>
      <c r="J1952" s="1548"/>
      <c r="K1952" s="1591"/>
      <c r="L1952" s="1538"/>
    </row>
    <row r="1953" spans="1:12" s="1572" customFormat="1">
      <c r="A1953" s="1522"/>
      <c r="B1953" s="1522"/>
      <c r="C1953" s="1522"/>
      <c r="D1953" s="1552"/>
      <c r="E1953" s="1545"/>
      <c r="F1953" s="1546"/>
      <c r="G1953" s="1457"/>
      <c r="H1953" s="1547"/>
      <c r="I1953" s="1541"/>
      <c r="J1953" s="1548"/>
      <c r="K1953" s="1591"/>
      <c r="L1953" s="1538"/>
    </row>
    <row r="1954" spans="1:12" s="1572" customFormat="1">
      <c r="A1954" s="1522"/>
      <c r="B1954" s="1522"/>
      <c r="C1954" s="1522"/>
      <c r="D1954" s="1552"/>
      <c r="E1954" s="1545"/>
      <c r="F1954" s="1546"/>
      <c r="G1954" s="1457"/>
      <c r="H1954" s="1547"/>
      <c r="I1954" s="1541"/>
      <c r="J1954" s="1548"/>
      <c r="K1954" s="1591"/>
      <c r="L1954" s="1538"/>
    </row>
    <row r="1955" spans="1:12" s="1572" customFormat="1">
      <c r="A1955" s="1522"/>
      <c r="B1955" s="1522"/>
      <c r="C1955" s="1522"/>
      <c r="D1955" s="1552"/>
      <c r="E1955" s="1545"/>
      <c r="F1955" s="1546"/>
      <c r="G1955" s="1457"/>
      <c r="H1955" s="1547"/>
      <c r="I1955" s="1541"/>
      <c r="J1955" s="1548"/>
      <c r="K1955" s="1591"/>
      <c r="L1955" s="1538"/>
    </row>
    <row r="1956" spans="1:12" s="1572" customFormat="1">
      <c r="A1956" s="1522"/>
      <c r="B1956" s="1522"/>
      <c r="C1956" s="1522"/>
      <c r="D1956" s="1552"/>
      <c r="E1956" s="1545"/>
      <c r="F1956" s="1546"/>
      <c r="G1956" s="1457"/>
      <c r="H1956" s="1547"/>
      <c r="I1956" s="1541"/>
      <c r="J1956" s="1548"/>
      <c r="K1956" s="1591"/>
      <c r="L1956" s="1538"/>
    </row>
    <row r="1957" spans="1:12" s="1572" customFormat="1">
      <c r="A1957" s="1522"/>
      <c r="B1957" s="1522"/>
      <c r="C1957" s="1522"/>
      <c r="D1957" s="1552"/>
      <c r="E1957" s="1545"/>
      <c r="F1957" s="1546"/>
      <c r="G1957" s="1457"/>
      <c r="H1957" s="1547"/>
      <c r="I1957" s="1541"/>
      <c r="J1957" s="1548"/>
      <c r="K1957" s="1591"/>
      <c r="L1957" s="1538"/>
    </row>
    <row r="1958" spans="1:12" s="1572" customFormat="1">
      <c r="A1958" s="1522"/>
      <c r="B1958" s="1522"/>
      <c r="C1958" s="1522"/>
      <c r="D1958" s="1552"/>
      <c r="E1958" s="1545"/>
      <c r="F1958" s="1546"/>
      <c r="G1958" s="1457"/>
      <c r="H1958" s="1547"/>
      <c r="I1958" s="1541"/>
      <c r="J1958" s="1548"/>
      <c r="K1958" s="1591"/>
      <c r="L1958" s="1538"/>
    </row>
    <row r="1959" spans="1:12" s="1572" customFormat="1">
      <c r="A1959" s="1522"/>
      <c r="B1959" s="1522"/>
      <c r="C1959" s="1522"/>
      <c r="D1959" s="1552"/>
      <c r="E1959" s="1545"/>
      <c r="F1959" s="1546"/>
      <c r="G1959" s="1457"/>
      <c r="H1959" s="1547"/>
      <c r="I1959" s="1541"/>
      <c r="J1959" s="1548"/>
      <c r="K1959" s="1591"/>
      <c r="L1959" s="1538"/>
    </row>
    <row r="1960" spans="1:12" s="1572" customFormat="1">
      <c r="A1960" s="1522"/>
      <c r="B1960" s="1522"/>
      <c r="C1960" s="1522"/>
      <c r="D1960" s="1552"/>
      <c r="E1960" s="1545"/>
      <c r="F1960" s="1546"/>
      <c r="G1960" s="1457"/>
      <c r="H1960" s="1547"/>
      <c r="I1960" s="1541"/>
      <c r="J1960" s="1548"/>
      <c r="K1960" s="1591"/>
      <c r="L1960" s="1538"/>
    </row>
    <row r="1961" spans="1:12" s="1572" customFormat="1">
      <c r="A1961" s="1522"/>
      <c r="B1961" s="1522"/>
      <c r="C1961" s="1522"/>
      <c r="D1961" s="1552"/>
      <c r="E1961" s="1545"/>
      <c r="F1961" s="1546"/>
      <c r="G1961" s="1457"/>
      <c r="H1961" s="1547"/>
      <c r="I1961" s="1541"/>
      <c r="J1961" s="1548"/>
      <c r="K1961" s="1591"/>
      <c r="L1961" s="1538"/>
    </row>
    <row r="1962" spans="1:12" s="1572" customFormat="1">
      <c r="A1962" s="1522"/>
      <c r="B1962" s="1522"/>
      <c r="C1962" s="1522"/>
      <c r="D1962" s="1552"/>
      <c r="E1962" s="1545"/>
      <c r="F1962" s="1546"/>
      <c r="G1962" s="1457"/>
      <c r="H1962" s="1547"/>
      <c r="I1962" s="1541"/>
      <c r="J1962" s="1548"/>
      <c r="K1962" s="1591"/>
      <c r="L1962" s="1538"/>
    </row>
    <row r="1963" spans="1:12" s="1572" customFormat="1">
      <c r="A1963" s="1522"/>
      <c r="B1963" s="1522"/>
      <c r="C1963" s="1522"/>
      <c r="D1963" s="1552"/>
      <c r="E1963" s="1545"/>
      <c r="F1963" s="1546"/>
      <c r="G1963" s="1457"/>
      <c r="H1963" s="1547"/>
      <c r="I1963" s="1541"/>
      <c r="J1963" s="1548"/>
      <c r="K1963" s="1591"/>
      <c r="L1963" s="1538"/>
    </row>
    <row r="1964" spans="1:12" s="1572" customFormat="1">
      <c r="A1964" s="1522"/>
      <c r="B1964" s="1522"/>
      <c r="C1964" s="1522"/>
      <c r="D1964" s="1552"/>
      <c r="E1964" s="1545"/>
      <c r="F1964" s="1546"/>
      <c r="G1964" s="1457"/>
      <c r="H1964" s="1547"/>
      <c r="I1964" s="1541"/>
      <c r="J1964" s="1548"/>
      <c r="K1964" s="1591"/>
      <c r="L1964" s="1538"/>
    </row>
    <row r="1965" spans="1:12" s="1572" customFormat="1">
      <c r="A1965" s="1522"/>
      <c r="B1965" s="1522"/>
      <c r="C1965" s="1522"/>
      <c r="D1965" s="1552"/>
      <c r="E1965" s="1545"/>
      <c r="F1965" s="1546"/>
      <c r="G1965" s="1457"/>
      <c r="H1965" s="1547"/>
      <c r="I1965" s="1541"/>
      <c r="J1965" s="1548"/>
      <c r="K1965" s="1591"/>
      <c r="L1965" s="1538"/>
    </row>
    <row r="1966" spans="1:12" s="1572" customFormat="1">
      <c r="A1966" s="1522"/>
      <c r="B1966" s="1522"/>
      <c r="C1966" s="1522"/>
      <c r="D1966" s="1552"/>
      <c r="E1966" s="1545"/>
      <c r="F1966" s="1546"/>
      <c r="G1966" s="1457"/>
      <c r="H1966" s="1547"/>
      <c r="I1966" s="1541"/>
      <c r="J1966" s="1548"/>
      <c r="K1966" s="1591"/>
      <c r="L1966" s="1538"/>
    </row>
    <row r="1967" spans="1:12" s="1572" customFormat="1">
      <c r="A1967" s="1522"/>
      <c r="B1967" s="1522"/>
      <c r="C1967" s="1522"/>
      <c r="D1967" s="1552"/>
      <c r="E1967" s="1545"/>
      <c r="F1967" s="1546"/>
      <c r="G1967" s="1457"/>
      <c r="H1967" s="1547"/>
      <c r="I1967" s="1541"/>
      <c r="J1967" s="1548"/>
      <c r="K1967" s="1591"/>
      <c r="L1967" s="1538"/>
    </row>
    <row r="1968" spans="1:12" s="1572" customFormat="1">
      <c r="A1968" s="1522"/>
      <c r="B1968" s="1522"/>
      <c r="C1968" s="1522"/>
      <c r="D1968" s="1552"/>
      <c r="E1968" s="1545"/>
      <c r="F1968" s="1546"/>
      <c r="G1968" s="1457"/>
      <c r="H1968" s="1547"/>
      <c r="I1968" s="1541"/>
      <c r="J1968" s="1548"/>
      <c r="K1968" s="1591"/>
      <c r="L1968" s="1538"/>
    </row>
    <row r="1969" spans="1:12" s="1572" customFormat="1">
      <c r="A1969" s="1522"/>
      <c r="B1969" s="1522"/>
      <c r="C1969" s="1522"/>
      <c r="D1969" s="1552"/>
      <c r="E1969" s="1545"/>
      <c r="F1969" s="1546"/>
      <c r="G1969" s="1457"/>
      <c r="H1969" s="1547"/>
      <c r="I1969" s="1541"/>
      <c r="J1969" s="1548"/>
      <c r="K1969" s="1591"/>
      <c r="L1969" s="1538"/>
    </row>
    <row r="1970" spans="1:12" s="1572" customFormat="1">
      <c r="A1970" s="1522"/>
      <c r="B1970" s="1522"/>
      <c r="C1970" s="1522"/>
      <c r="D1970" s="1552"/>
      <c r="E1970" s="1545"/>
      <c r="F1970" s="1546"/>
      <c r="G1970" s="1457"/>
      <c r="H1970" s="1547"/>
      <c r="I1970" s="1541"/>
      <c r="J1970" s="1548"/>
      <c r="K1970" s="1591"/>
      <c r="L1970" s="1538"/>
    </row>
    <row r="1971" spans="1:12" s="1572" customFormat="1">
      <c r="A1971" s="1522"/>
      <c r="B1971" s="1522"/>
      <c r="C1971" s="1522"/>
      <c r="D1971" s="1552"/>
      <c r="E1971" s="1545"/>
      <c r="F1971" s="1546"/>
      <c r="G1971" s="1457"/>
      <c r="H1971" s="1547"/>
      <c r="I1971" s="1541"/>
      <c r="J1971" s="1548"/>
      <c r="K1971" s="1591"/>
      <c r="L1971" s="1538"/>
    </row>
    <row r="1972" spans="1:12" s="1572" customFormat="1">
      <c r="A1972" s="1522"/>
      <c r="B1972" s="1522"/>
      <c r="C1972" s="1522"/>
      <c r="D1972" s="1552"/>
      <c r="E1972" s="1545"/>
      <c r="F1972" s="1546"/>
      <c r="G1972" s="1457"/>
      <c r="H1972" s="1547"/>
      <c r="I1972" s="1541"/>
      <c r="J1972" s="1548"/>
      <c r="K1972" s="1591"/>
      <c r="L1972" s="1538"/>
    </row>
    <row r="1973" spans="1:12" s="1572" customFormat="1">
      <c r="A1973" s="1522"/>
      <c r="B1973" s="1522"/>
      <c r="C1973" s="1522"/>
      <c r="D1973" s="1552"/>
      <c r="E1973" s="1545"/>
      <c r="F1973" s="1546"/>
      <c r="G1973" s="1457"/>
      <c r="H1973" s="1547"/>
      <c r="I1973" s="1541"/>
      <c r="J1973" s="1548"/>
      <c r="K1973" s="1591"/>
      <c r="L1973" s="1538"/>
    </row>
    <row r="1974" spans="1:12" s="1572" customFormat="1">
      <c r="A1974" s="1522"/>
      <c r="B1974" s="1522"/>
      <c r="C1974" s="1522"/>
      <c r="D1974" s="1552"/>
      <c r="E1974" s="1545"/>
      <c r="F1974" s="1546"/>
      <c r="G1974" s="1457"/>
      <c r="H1974" s="1547"/>
      <c r="I1974" s="1541"/>
      <c r="J1974" s="1548"/>
      <c r="K1974" s="1591"/>
      <c r="L1974" s="1538"/>
    </row>
    <row r="1975" spans="1:12" s="1572" customFormat="1">
      <c r="A1975" s="1522"/>
      <c r="B1975" s="1522"/>
      <c r="C1975" s="1522"/>
      <c r="D1975" s="1552"/>
      <c r="E1975" s="1545"/>
      <c r="F1975" s="1546"/>
      <c r="G1975" s="1457"/>
      <c r="H1975" s="1547"/>
      <c r="I1975" s="1541"/>
      <c r="J1975" s="1548"/>
      <c r="K1975" s="1591"/>
      <c r="L1975" s="1538"/>
    </row>
    <row r="1976" spans="1:12" s="1572" customFormat="1">
      <c r="A1976" s="1522"/>
      <c r="B1976" s="1522"/>
      <c r="C1976" s="1522"/>
      <c r="D1976" s="1552"/>
      <c r="E1976" s="1545"/>
      <c r="F1976" s="1546"/>
      <c r="G1976" s="1457"/>
      <c r="H1976" s="1547"/>
      <c r="I1976" s="1541"/>
      <c r="J1976" s="1548"/>
      <c r="K1976" s="1591"/>
      <c r="L1976" s="1538"/>
    </row>
    <row r="1977" spans="1:12" s="1572" customFormat="1">
      <c r="A1977" s="1522"/>
      <c r="B1977" s="1522"/>
      <c r="C1977" s="1522"/>
      <c r="D1977" s="1552"/>
      <c r="E1977" s="1545"/>
      <c r="F1977" s="1546"/>
      <c r="G1977" s="1457"/>
      <c r="H1977" s="1547"/>
      <c r="I1977" s="1541"/>
      <c r="J1977" s="1548"/>
      <c r="K1977" s="1591"/>
      <c r="L1977" s="1538"/>
    </row>
    <row r="1978" spans="1:12" s="1572" customFormat="1">
      <c r="A1978" s="1522"/>
      <c r="B1978" s="1522"/>
      <c r="C1978" s="1522"/>
      <c r="D1978" s="1552"/>
      <c r="E1978" s="1545"/>
      <c r="F1978" s="1546"/>
      <c r="G1978" s="1457"/>
      <c r="H1978" s="1547"/>
      <c r="I1978" s="1541"/>
      <c r="J1978" s="1548"/>
      <c r="K1978" s="1591"/>
      <c r="L1978" s="1538"/>
    </row>
    <row r="1979" spans="1:12" s="1572" customFormat="1">
      <c r="A1979" s="1522"/>
      <c r="B1979" s="1522"/>
      <c r="C1979" s="1522"/>
      <c r="D1979" s="1552"/>
      <c r="E1979" s="1545"/>
      <c r="F1979" s="1546"/>
      <c r="G1979" s="1457"/>
      <c r="H1979" s="1547"/>
      <c r="I1979" s="1541"/>
      <c r="J1979" s="1548"/>
      <c r="K1979" s="1591"/>
      <c r="L1979" s="1538"/>
    </row>
    <row r="1980" spans="1:12" s="1572" customFormat="1">
      <c r="A1980" s="1522"/>
      <c r="B1980" s="1522"/>
      <c r="C1980" s="1522"/>
      <c r="D1980" s="1552"/>
      <c r="E1980" s="1545"/>
      <c r="F1980" s="1546"/>
      <c r="G1980" s="1457"/>
      <c r="H1980" s="1547"/>
      <c r="I1980" s="1541"/>
      <c r="J1980" s="1548"/>
      <c r="K1980" s="1591"/>
      <c r="L1980" s="1538"/>
    </row>
    <row r="1981" spans="1:12" s="1572" customFormat="1">
      <c r="A1981" s="1522"/>
      <c r="B1981" s="1522"/>
      <c r="C1981" s="1522"/>
      <c r="D1981" s="1552"/>
      <c r="E1981" s="1545"/>
      <c r="F1981" s="1546"/>
      <c r="G1981" s="1457"/>
      <c r="H1981" s="1547"/>
      <c r="I1981" s="1541"/>
      <c r="J1981" s="1548"/>
      <c r="K1981" s="1591"/>
      <c r="L1981" s="1538"/>
    </row>
    <row r="1982" spans="1:12" s="1572" customFormat="1">
      <c r="A1982" s="1522"/>
      <c r="B1982" s="1522"/>
      <c r="C1982" s="1522"/>
      <c r="D1982" s="1552"/>
      <c r="E1982" s="1545"/>
      <c r="F1982" s="1546"/>
      <c r="G1982" s="1457"/>
      <c r="H1982" s="1547"/>
      <c r="I1982" s="1541"/>
      <c r="J1982" s="1548"/>
      <c r="K1982" s="1591"/>
      <c r="L1982" s="1538"/>
    </row>
    <row r="1983" spans="1:12" s="1572" customFormat="1">
      <c r="A1983" s="1522"/>
      <c r="B1983" s="1522"/>
      <c r="C1983" s="1522"/>
      <c r="D1983" s="1552"/>
      <c r="E1983" s="1545"/>
      <c r="F1983" s="1546"/>
      <c r="G1983" s="1457"/>
      <c r="H1983" s="1547"/>
      <c r="I1983" s="1541"/>
      <c r="J1983" s="1548"/>
      <c r="K1983" s="1591"/>
      <c r="L1983" s="1538"/>
    </row>
    <row r="1984" spans="1:12" s="1572" customFormat="1">
      <c r="A1984" s="1522"/>
      <c r="B1984" s="1522"/>
      <c r="C1984" s="1522"/>
      <c r="D1984" s="1552"/>
      <c r="E1984" s="1545"/>
      <c r="F1984" s="1546"/>
      <c r="G1984" s="1457"/>
      <c r="H1984" s="1547"/>
      <c r="I1984" s="1541"/>
      <c r="J1984" s="1548"/>
      <c r="K1984" s="1591"/>
      <c r="L1984" s="1538"/>
    </row>
    <row r="1985" spans="1:12" s="1572" customFormat="1">
      <c r="A1985" s="1522"/>
      <c r="B1985" s="1522"/>
      <c r="C1985" s="1522"/>
      <c r="D1985" s="1552"/>
      <c r="E1985" s="1545"/>
      <c r="F1985" s="1546"/>
      <c r="G1985" s="1457"/>
      <c r="H1985" s="1547"/>
      <c r="I1985" s="1541"/>
      <c r="J1985" s="1548"/>
      <c r="K1985" s="1591"/>
      <c r="L1985" s="1538"/>
    </row>
    <row r="1986" spans="1:12" s="1572" customFormat="1">
      <c r="A1986" s="1522"/>
      <c r="B1986" s="1522"/>
      <c r="C1986" s="1522"/>
      <c r="D1986" s="1552"/>
      <c r="E1986" s="1545"/>
      <c r="F1986" s="1546"/>
      <c r="G1986" s="1457"/>
      <c r="H1986" s="1547"/>
      <c r="I1986" s="1541"/>
      <c r="J1986" s="1548"/>
      <c r="K1986" s="1591"/>
      <c r="L1986" s="1538"/>
    </row>
    <row r="1987" spans="1:12" s="1572" customFormat="1">
      <c r="A1987" s="1522"/>
      <c r="B1987" s="1522"/>
      <c r="C1987" s="1522"/>
      <c r="D1987" s="1552"/>
      <c r="E1987" s="1545"/>
      <c r="F1987" s="1546"/>
      <c r="G1987" s="1457"/>
      <c r="H1987" s="1547"/>
      <c r="I1987" s="1541"/>
      <c r="J1987" s="1548"/>
      <c r="K1987" s="1591"/>
      <c r="L1987" s="1538"/>
    </row>
    <row r="1988" spans="1:12" s="1572" customFormat="1">
      <c r="A1988" s="1522"/>
      <c r="B1988" s="1522"/>
      <c r="C1988" s="1522"/>
      <c r="D1988" s="1552"/>
      <c r="E1988" s="1545"/>
      <c r="F1988" s="1546"/>
      <c r="G1988" s="1457"/>
      <c r="H1988" s="1547"/>
      <c r="I1988" s="1541"/>
      <c r="J1988" s="1548"/>
      <c r="K1988" s="1591"/>
      <c r="L1988" s="1538"/>
    </row>
    <row r="1989" spans="1:12" s="1572" customFormat="1">
      <c r="A1989" s="1522"/>
      <c r="B1989" s="1522"/>
      <c r="C1989" s="1522"/>
      <c r="D1989" s="1552"/>
      <c r="E1989" s="1545"/>
      <c r="F1989" s="1546"/>
      <c r="G1989" s="1457"/>
      <c r="H1989" s="1547"/>
      <c r="I1989" s="1541"/>
      <c r="J1989" s="1548"/>
      <c r="K1989" s="1591"/>
      <c r="L1989" s="1538"/>
    </row>
    <row r="1990" spans="1:12" s="1572" customFormat="1">
      <c r="A1990" s="1522"/>
      <c r="B1990" s="1522"/>
      <c r="C1990" s="1522"/>
      <c r="D1990" s="1552"/>
      <c r="E1990" s="1545"/>
      <c r="F1990" s="1546"/>
      <c r="G1990" s="1457"/>
      <c r="H1990" s="1547"/>
      <c r="I1990" s="1541"/>
      <c r="J1990" s="1548"/>
      <c r="K1990" s="1591"/>
      <c r="L1990" s="1538"/>
    </row>
    <row r="1991" spans="1:12" s="1572" customFormat="1">
      <c r="A1991" s="1522"/>
      <c r="B1991" s="1522"/>
      <c r="C1991" s="1522"/>
      <c r="D1991" s="1552"/>
      <c r="E1991" s="1545"/>
      <c r="F1991" s="1546"/>
      <c r="G1991" s="1457"/>
      <c r="H1991" s="1547"/>
      <c r="I1991" s="1541"/>
      <c r="J1991" s="1548"/>
      <c r="K1991" s="1591"/>
      <c r="L1991" s="1538"/>
    </row>
    <row r="1992" spans="1:12" s="1572" customFormat="1">
      <c r="A1992" s="1522"/>
      <c r="B1992" s="1522"/>
      <c r="C1992" s="1522"/>
      <c r="D1992" s="1552"/>
      <c r="E1992" s="1545"/>
      <c r="F1992" s="1546"/>
      <c r="G1992" s="1457"/>
      <c r="H1992" s="1547"/>
      <c r="I1992" s="1541"/>
      <c r="J1992" s="1548"/>
      <c r="K1992" s="1591"/>
      <c r="L1992" s="1538"/>
    </row>
    <row r="1993" spans="1:12" s="1572" customFormat="1">
      <c r="A1993" s="1522"/>
      <c r="B1993" s="1522"/>
      <c r="C1993" s="1522"/>
      <c r="D1993" s="1552"/>
      <c r="E1993" s="1545"/>
      <c r="F1993" s="1546"/>
      <c r="G1993" s="1457"/>
      <c r="H1993" s="1547"/>
      <c r="I1993" s="1541"/>
      <c r="J1993" s="1548"/>
      <c r="K1993" s="1591"/>
      <c r="L1993" s="1538"/>
    </row>
    <row r="1994" spans="1:12" s="1572" customFormat="1">
      <c r="A1994" s="1522"/>
      <c r="B1994" s="1522"/>
      <c r="C1994" s="1522"/>
      <c r="D1994" s="1552"/>
      <c r="E1994" s="1545"/>
      <c r="F1994" s="1546"/>
      <c r="G1994" s="1457"/>
      <c r="H1994" s="1547"/>
      <c r="I1994" s="1541"/>
      <c r="J1994" s="1548"/>
      <c r="K1994" s="1591"/>
      <c r="L1994" s="1538"/>
    </row>
    <row r="1995" spans="1:12" s="1572" customFormat="1">
      <c r="A1995" s="1522"/>
      <c r="B1995" s="1522"/>
      <c r="C1995" s="1522"/>
      <c r="D1995" s="1552"/>
      <c r="E1995" s="1545"/>
      <c r="F1995" s="1546"/>
      <c r="G1995" s="1457"/>
      <c r="H1995" s="1547"/>
      <c r="I1995" s="1541"/>
      <c r="J1995" s="1548"/>
      <c r="K1995" s="1591"/>
      <c r="L1995" s="1538"/>
    </row>
    <row r="1996" spans="1:12" s="1572" customFormat="1">
      <c r="A1996" s="1522"/>
      <c r="B1996" s="1522"/>
      <c r="C1996" s="1522"/>
      <c r="D1996" s="1552"/>
      <c r="E1996" s="1545"/>
      <c r="F1996" s="1546"/>
      <c r="G1996" s="1457"/>
      <c r="H1996" s="1547"/>
      <c r="I1996" s="1541"/>
      <c r="J1996" s="1548"/>
      <c r="K1996" s="1591"/>
      <c r="L1996" s="1538"/>
    </row>
    <row r="1997" spans="1:12" s="1572" customFormat="1">
      <c r="A1997" s="1522"/>
      <c r="B1997" s="1522"/>
      <c r="C1997" s="1522"/>
      <c r="D1997" s="1552"/>
      <c r="E1997" s="1545"/>
      <c r="F1997" s="1546"/>
      <c r="G1997" s="1457"/>
      <c r="H1997" s="1547"/>
      <c r="I1997" s="1541"/>
      <c r="J1997" s="1548"/>
      <c r="K1997" s="1591"/>
      <c r="L1997" s="1538"/>
    </row>
    <row r="1998" spans="1:12" s="1572" customFormat="1">
      <c r="A1998" s="1522"/>
      <c r="B1998" s="1522"/>
      <c r="C1998" s="1522"/>
      <c r="D1998" s="1552"/>
      <c r="E1998" s="1545"/>
      <c r="F1998" s="1546"/>
      <c r="G1998" s="1457"/>
      <c r="H1998" s="1547"/>
      <c r="I1998" s="1541"/>
      <c r="J1998" s="1548"/>
      <c r="K1998" s="1591"/>
      <c r="L1998" s="1538"/>
    </row>
    <row r="1999" spans="1:12" s="1572" customFormat="1">
      <c r="A1999" s="1522"/>
      <c r="B1999" s="1522"/>
      <c r="C1999" s="1522"/>
      <c r="D1999" s="1552"/>
      <c r="E1999" s="1545"/>
      <c r="F1999" s="1546"/>
      <c r="G1999" s="1457"/>
      <c r="H1999" s="1547"/>
      <c r="I1999" s="1541"/>
      <c r="J1999" s="1548"/>
      <c r="K1999" s="1591"/>
      <c r="L1999" s="1538"/>
    </row>
    <row r="2000" spans="1:12" s="1572" customFormat="1">
      <c r="A2000" s="1522"/>
      <c r="B2000" s="1522"/>
      <c r="C2000" s="1522"/>
      <c r="D2000" s="1552"/>
      <c r="E2000" s="1545"/>
      <c r="F2000" s="1546"/>
      <c r="G2000" s="1457"/>
      <c r="H2000" s="1547"/>
      <c r="I2000" s="1541"/>
      <c r="J2000" s="1548"/>
      <c r="K2000" s="1591"/>
      <c r="L2000" s="1538"/>
    </row>
    <row r="2001" spans="1:12" s="1572" customFormat="1">
      <c r="A2001" s="1522"/>
      <c r="B2001" s="1522"/>
      <c r="C2001" s="1522"/>
      <c r="D2001" s="1552"/>
      <c r="E2001" s="1545"/>
      <c r="F2001" s="1546"/>
      <c r="G2001" s="1457"/>
      <c r="H2001" s="1547"/>
      <c r="I2001" s="1541"/>
      <c r="J2001" s="1548"/>
      <c r="K2001" s="1591"/>
      <c r="L2001" s="1538"/>
    </row>
    <row r="2002" spans="1:12" s="1572" customFormat="1">
      <c r="A2002" s="1522"/>
      <c r="B2002" s="1522"/>
      <c r="C2002" s="1522"/>
      <c r="D2002" s="1552"/>
      <c r="E2002" s="1545"/>
      <c r="F2002" s="1546"/>
      <c r="G2002" s="1457"/>
      <c r="H2002" s="1547"/>
      <c r="I2002" s="1541"/>
      <c r="J2002" s="1548"/>
      <c r="K2002" s="1591"/>
      <c r="L2002" s="1538"/>
    </row>
    <row r="2003" spans="1:12" s="1572" customFormat="1">
      <c r="A2003" s="1522"/>
      <c r="B2003" s="1522"/>
      <c r="C2003" s="1522"/>
      <c r="D2003" s="1552"/>
      <c r="E2003" s="1545"/>
      <c r="F2003" s="1546"/>
      <c r="G2003" s="1457"/>
      <c r="H2003" s="1547"/>
      <c r="I2003" s="1541"/>
      <c r="J2003" s="1548"/>
      <c r="K2003" s="1591"/>
      <c r="L2003" s="1538"/>
    </row>
    <row r="2004" spans="1:12" s="1572" customFormat="1">
      <c r="A2004" s="1522"/>
      <c r="B2004" s="1522"/>
      <c r="C2004" s="1522"/>
      <c r="D2004" s="1552"/>
      <c r="E2004" s="1545"/>
      <c r="F2004" s="1546"/>
      <c r="G2004" s="1457"/>
      <c r="H2004" s="1547"/>
      <c r="I2004" s="1541"/>
      <c r="J2004" s="1548"/>
      <c r="K2004" s="1591"/>
      <c r="L2004" s="1538"/>
    </row>
    <row r="2005" spans="1:12" s="1572" customFormat="1">
      <c r="A2005" s="1522"/>
      <c r="B2005" s="1522"/>
      <c r="C2005" s="1522"/>
      <c r="D2005" s="1552"/>
      <c r="E2005" s="1545"/>
      <c r="F2005" s="1546"/>
      <c r="G2005" s="1457"/>
      <c r="H2005" s="1547"/>
      <c r="I2005" s="1541"/>
      <c r="J2005" s="1548"/>
      <c r="K2005" s="1591"/>
      <c r="L2005" s="1538"/>
    </row>
    <row r="2006" spans="1:12" s="1572" customFormat="1">
      <c r="A2006" s="1522"/>
      <c r="B2006" s="1522"/>
      <c r="C2006" s="1522"/>
      <c r="D2006" s="1552"/>
      <c r="E2006" s="1545"/>
      <c r="F2006" s="1546"/>
      <c r="G2006" s="1457"/>
      <c r="H2006" s="1547"/>
      <c r="I2006" s="1541"/>
      <c r="J2006" s="1548"/>
      <c r="K2006" s="1591"/>
      <c r="L2006" s="1538"/>
    </row>
    <row r="2007" spans="1:12" s="1572" customFormat="1">
      <c r="A2007" s="1522"/>
      <c r="B2007" s="1522"/>
      <c r="C2007" s="1522"/>
      <c r="D2007" s="1552"/>
      <c r="E2007" s="1545"/>
      <c r="F2007" s="1546"/>
      <c r="G2007" s="1457"/>
      <c r="H2007" s="1547"/>
      <c r="I2007" s="1541"/>
      <c r="J2007" s="1548"/>
      <c r="K2007" s="1591"/>
      <c r="L2007" s="1538"/>
    </row>
    <row r="2008" spans="1:12" s="1572" customFormat="1">
      <c r="A2008" s="1522"/>
      <c r="B2008" s="1522"/>
      <c r="C2008" s="1522"/>
      <c r="D2008" s="1552"/>
      <c r="E2008" s="1545"/>
      <c r="F2008" s="1546"/>
      <c r="G2008" s="1457"/>
      <c r="H2008" s="1547"/>
      <c r="I2008" s="1541"/>
      <c r="J2008" s="1548"/>
      <c r="K2008" s="1591"/>
      <c r="L2008" s="1538"/>
    </row>
    <row r="2009" spans="1:12" s="1572" customFormat="1">
      <c r="A2009" s="1522"/>
      <c r="B2009" s="1522"/>
      <c r="C2009" s="1522"/>
      <c r="D2009" s="1552"/>
      <c r="E2009" s="1545"/>
      <c r="F2009" s="1546"/>
      <c r="G2009" s="1457"/>
      <c r="H2009" s="1547"/>
      <c r="I2009" s="1541"/>
      <c r="J2009" s="1548"/>
      <c r="K2009" s="1591"/>
      <c r="L2009" s="1538"/>
    </row>
    <row r="2010" spans="1:12" s="1572" customFormat="1">
      <c r="A2010" s="1522"/>
      <c r="B2010" s="1522"/>
      <c r="C2010" s="1522"/>
      <c r="D2010" s="1552"/>
      <c r="E2010" s="1545"/>
      <c r="F2010" s="1546"/>
      <c r="G2010" s="1457"/>
      <c r="H2010" s="1547"/>
      <c r="I2010" s="1541"/>
      <c r="J2010" s="1548"/>
      <c r="K2010" s="1591"/>
      <c r="L2010" s="1538"/>
    </row>
    <row r="2011" spans="1:12" s="1572" customFormat="1">
      <c r="A2011" s="1522"/>
      <c r="B2011" s="1522"/>
      <c r="C2011" s="1522"/>
      <c r="D2011" s="1552"/>
      <c r="E2011" s="1545"/>
      <c r="F2011" s="1546"/>
      <c r="G2011" s="1457"/>
      <c r="H2011" s="1547"/>
      <c r="I2011" s="1541"/>
      <c r="J2011" s="1548"/>
      <c r="K2011" s="1591"/>
      <c r="L2011" s="1538"/>
    </row>
    <row r="2012" spans="1:12" s="1572" customFormat="1">
      <c r="A2012" s="1522"/>
      <c r="B2012" s="1522"/>
      <c r="C2012" s="1522"/>
      <c r="D2012" s="1552"/>
      <c r="E2012" s="1545"/>
      <c r="F2012" s="1546"/>
      <c r="G2012" s="1457"/>
      <c r="H2012" s="1547"/>
      <c r="I2012" s="1541"/>
      <c r="J2012" s="1548"/>
      <c r="K2012" s="1591"/>
      <c r="L2012" s="1538"/>
    </row>
    <row r="2013" spans="1:12" s="1572" customFormat="1">
      <c r="A2013" s="1522"/>
      <c r="B2013" s="1522"/>
      <c r="C2013" s="1522"/>
      <c r="D2013" s="1552"/>
      <c r="E2013" s="1545"/>
      <c r="F2013" s="1546"/>
      <c r="G2013" s="1457"/>
      <c r="H2013" s="1547"/>
      <c r="I2013" s="1541"/>
      <c r="J2013" s="1548"/>
      <c r="K2013" s="1591"/>
      <c r="L2013" s="1538"/>
    </row>
    <row r="2014" spans="1:12" s="1572" customFormat="1">
      <c r="A2014" s="1522"/>
      <c r="B2014" s="1522"/>
      <c r="C2014" s="1522"/>
      <c r="D2014" s="1552"/>
      <c r="E2014" s="1545"/>
      <c r="F2014" s="1546"/>
      <c r="G2014" s="1457"/>
      <c r="H2014" s="1547"/>
      <c r="I2014" s="1541"/>
      <c r="J2014" s="1548"/>
      <c r="K2014" s="1591"/>
      <c r="L2014" s="1538"/>
    </row>
    <row r="2015" spans="1:12" s="1572" customFormat="1">
      <c r="A2015" s="1522"/>
      <c r="B2015" s="1522"/>
      <c r="C2015" s="1522"/>
      <c r="D2015" s="1552"/>
      <c r="E2015" s="1545"/>
      <c r="F2015" s="1546"/>
      <c r="G2015" s="1457"/>
      <c r="H2015" s="1547"/>
      <c r="I2015" s="1541"/>
      <c r="J2015" s="1548"/>
      <c r="K2015" s="1591"/>
      <c r="L2015" s="1538"/>
    </row>
    <row r="2016" spans="1:12" s="1572" customFormat="1">
      <c r="A2016" s="1522"/>
      <c r="B2016" s="1522"/>
      <c r="C2016" s="1522"/>
      <c r="D2016" s="1552"/>
      <c r="E2016" s="1545"/>
      <c r="F2016" s="1546"/>
      <c r="G2016" s="1457"/>
      <c r="H2016" s="1547"/>
      <c r="I2016" s="1541"/>
      <c r="J2016" s="1548"/>
      <c r="K2016" s="1591"/>
      <c r="L2016" s="1538"/>
    </row>
    <row r="2017" spans="1:12" s="1572" customFormat="1">
      <c r="A2017" s="1522"/>
      <c r="B2017" s="1522"/>
      <c r="C2017" s="1522"/>
      <c r="D2017" s="1552"/>
      <c r="E2017" s="1545"/>
      <c r="F2017" s="1546"/>
      <c r="G2017" s="1457"/>
      <c r="H2017" s="1547"/>
      <c r="I2017" s="1541"/>
      <c r="J2017" s="1548"/>
      <c r="K2017" s="1591"/>
      <c r="L2017" s="1538"/>
    </row>
    <row r="2018" spans="1:12" s="1572" customFormat="1">
      <c r="A2018" s="1522"/>
      <c r="B2018" s="1522"/>
      <c r="C2018" s="1522"/>
      <c r="D2018" s="1552"/>
      <c r="E2018" s="1545"/>
      <c r="F2018" s="1546"/>
      <c r="G2018" s="1457"/>
      <c r="H2018" s="1547"/>
      <c r="I2018" s="1541"/>
      <c r="J2018" s="1548"/>
      <c r="K2018" s="1591"/>
      <c r="L2018" s="1538"/>
    </row>
    <row r="2019" spans="1:12" s="1572" customFormat="1">
      <c r="A2019" s="1522"/>
      <c r="B2019" s="1522"/>
      <c r="C2019" s="1522"/>
      <c r="D2019" s="1552"/>
      <c r="E2019" s="1545"/>
      <c r="F2019" s="1546"/>
      <c r="G2019" s="1457"/>
      <c r="H2019" s="1547"/>
      <c r="I2019" s="1541"/>
      <c r="J2019" s="1548"/>
      <c r="K2019" s="1591"/>
      <c r="L2019" s="1538"/>
    </row>
    <row r="2020" spans="1:12" s="1572" customFormat="1">
      <c r="A2020" s="1522"/>
      <c r="B2020" s="1522"/>
      <c r="C2020" s="1522"/>
      <c r="D2020" s="1552"/>
      <c r="E2020" s="1545"/>
      <c r="F2020" s="1546"/>
      <c r="G2020" s="1457"/>
      <c r="H2020" s="1547"/>
      <c r="I2020" s="1541"/>
      <c r="J2020" s="1548"/>
      <c r="K2020" s="1591"/>
      <c r="L2020" s="1538"/>
    </row>
    <row r="2021" spans="1:12" s="1572" customFormat="1">
      <c r="A2021" s="1522"/>
      <c r="B2021" s="1522"/>
      <c r="C2021" s="1522"/>
      <c r="D2021" s="1552"/>
      <c r="E2021" s="1545"/>
      <c r="F2021" s="1546"/>
      <c r="G2021" s="1457"/>
      <c r="H2021" s="1547"/>
      <c r="I2021" s="1541"/>
      <c r="J2021" s="1548"/>
      <c r="K2021" s="1591"/>
      <c r="L2021" s="1538"/>
    </row>
    <row r="2022" spans="1:12" s="1572" customFormat="1">
      <c r="A2022" s="1522"/>
      <c r="B2022" s="1522"/>
      <c r="C2022" s="1522"/>
      <c r="D2022" s="1552"/>
      <c r="E2022" s="1545"/>
      <c r="F2022" s="1546"/>
      <c r="G2022" s="1457"/>
      <c r="H2022" s="1547"/>
      <c r="I2022" s="1541"/>
      <c r="J2022" s="1548"/>
      <c r="K2022" s="1591"/>
      <c r="L2022" s="1538"/>
    </row>
    <row r="2023" spans="1:12" s="1572" customFormat="1">
      <c r="A2023" s="1522"/>
      <c r="B2023" s="1522"/>
      <c r="C2023" s="1522"/>
      <c r="D2023" s="1552"/>
      <c r="E2023" s="1545"/>
      <c r="F2023" s="1546"/>
      <c r="G2023" s="1457"/>
      <c r="H2023" s="1547"/>
      <c r="I2023" s="1541"/>
      <c r="J2023" s="1548"/>
      <c r="K2023" s="1591"/>
      <c r="L2023" s="1538"/>
    </row>
    <row r="2024" spans="1:12" s="1572" customFormat="1">
      <c r="A2024" s="1522"/>
      <c r="B2024" s="1522"/>
      <c r="C2024" s="1522"/>
      <c r="D2024" s="1552"/>
      <c r="E2024" s="1545"/>
      <c r="F2024" s="1546"/>
      <c r="G2024" s="1457"/>
      <c r="H2024" s="1547"/>
      <c r="I2024" s="1541"/>
      <c r="J2024" s="1548"/>
      <c r="K2024" s="1591"/>
      <c r="L2024" s="1538"/>
    </row>
    <row r="2025" spans="1:12" s="1572" customFormat="1">
      <c r="A2025" s="1522"/>
      <c r="B2025" s="1522"/>
      <c r="C2025" s="1522"/>
      <c r="D2025" s="1552"/>
      <c r="E2025" s="1545"/>
      <c r="F2025" s="1546"/>
      <c r="G2025" s="1457"/>
      <c r="H2025" s="1547"/>
      <c r="I2025" s="1541"/>
      <c r="J2025" s="1548"/>
      <c r="K2025" s="1591"/>
      <c r="L2025" s="1538"/>
    </row>
    <row r="2026" spans="1:12" s="1572" customFormat="1">
      <c r="A2026" s="1522"/>
      <c r="B2026" s="1522"/>
      <c r="C2026" s="1522"/>
      <c r="D2026" s="1552"/>
      <c r="E2026" s="1545"/>
      <c r="F2026" s="1546"/>
      <c r="G2026" s="1457"/>
      <c r="H2026" s="1547"/>
      <c r="I2026" s="1541"/>
      <c r="J2026" s="1548"/>
      <c r="K2026" s="1591"/>
      <c r="L2026" s="1538"/>
    </row>
    <row r="2027" spans="1:12" s="1572" customFormat="1">
      <c r="A2027" s="1522"/>
      <c r="B2027" s="1522"/>
      <c r="C2027" s="1522"/>
      <c r="D2027" s="1552"/>
      <c r="E2027" s="1545"/>
      <c r="F2027" s="1546"/>
      <c r="G2027" s="1457"/>
      <c r="H2027" s="1547"/>
      <c r="I2027" s="1541"/>
      <c r="J2027" s="1548"/>
      <c r="K2027" s="1591"/>
      <c r="L2027" s="1538"/>
    </row>
    <row r="2028" spans="1:12" s="1572" customFormat="1">
      <c r="A2028" s="1522"/>
      <c r="B2028" s="1522"/>
      <c r="C2028" s="1522"/>
      <c r="D2028" s="1552"/>
      <c r="E2028" s="1545"/>
      <c r="F2028" s="1546"/>
      <c r="G2028" s="1457"/>
      <c r="H2028" s="1547"/>
      <c r="I2028" s="1541"/>
      <c r="J2028" s="1548"/>
      <c r="K2028" s="1591"/>
      <c r="L2028" s="1538"/>
    </row>
    <row r="2029" spans="1:12" s="1572" customFormat="1">
      <c r="A2029" s="1522"/>
      <c r="B2029" s="1522"/>
      <c r="C2029" s="1522"/>
      <c r="D2029" s="1552"/>
      <c r="E2029" s="1545"/>
      <c r="F2029" s="1546"/>
      <c r="G2029" s="1457"/>
      <c r="H2029" s="1547"/>
      <c r="I2029" s="1541"/>
      <c r="J2029" s="1548"/>
      <c r="K2029" s="1591"/>
      <c r="L2029" s="1538"/>
    </row>
    <row r="2030" spans="1:12" s="1572" customFormat="1">
      <c r="A2030" s="1522"/>
      <c r="B2030" s="1522"/>
      <c r="C2030" s="1522"/>
      <c r="D2030" s="1552"/>
      <c r="E2030" s="1545"/>
      <c r="F2030" s="1546"/>
      <c r="G2030" s="1457"/>
      <c r="H2030" s="1547"/>
      <c r="I2030" s="1541"/>
      <c r="J2030" s="1548"/>
      <c r="K2030" s="1591"/>
      <c r="L2030" s="1538"/>
    </row>
    <row r="2031" spans="1:12" s="1572" customFormat="1">
      <c r="A2031" s="1522"/>
      <c r="B2031" s="1522"/>
      <c r="C2031" s="1522"/>
      <c r="D2031" s="1552"/>
      <c r="E2031" s="1545"/>
      <c r="F2031" s="1546"/>
      <c r="G2031" s="1457"/>
      <c r="H2031" s="1547"/>
      <c r="I2031" s="1541"/>
      <c r="J2031" s="1548"/>
      <c r="K2031" s="1591"/>
      <c r="L2031" s="1538"/>
    </row>
    <row r="2032" spans="1:12" s="1572" customFormat="1">
      <c r="A2032" s="1522"/>
      <c r="B2032" s="1522"/>
      <c r="C2032" s="1522"/>
      <c r="D2032" s="1552"/>
      <c r="E2032" s="1545"/>
      <c r="F2032" s="1546"/>
      <c r="G2032" s="1457"/>
      <c r="H2032" s="1547"/>
      <c r="I2032" s="1541"/>
      <c r="J2032" s="1548"/>
      <c r="K2032" s="1591"/>
      <c r="L2032" s="1538"/>
    </row>
    <row r="2033" spans="1:12" s="1572" customFormat="1">
      <c r="A2033" s="1522"/>
      <c r="B2033" s="1522"/>
      <c r="C2033" s="1522"/>
      <c r="D2033" s="1552"/>
      <c r="E2033" s="1545"/>
      <c r="F2033" s="1546"/>
      <c r="G2033" s="1457"/>
      <c r="H2033" s="1547"/>
      <c r="I2033" s="1541"/>
      <c r="J2033" s="1548"/>
      <c r="K2033" s="1591"/>
      <c r="L2033" s="1538"/>
    </row>
    <row r="2034" spans="1:12" s="1572" customFormat="1">
      <c r="A2034" s="1522"/>
      <c r="B2034" s="1522"/>
      <c r="C2034" s="1522"/>
      <c r="D2034" s="1552"/>
      <c r="E2034" s="1545"/>
      <c r="F2034" s="1546"/>
      <c r="G2034" s="1457"/>
      <c r="H2034" s="1547"/>
      <c r="I2034" s="1541"/>
      <c r="J2034" s="1548"/>
      <c r="K2034" s="1591"/>
      <c r="L2034" s="1538"/>
    </row>
    <row r="2035" spans="1:12" s="1572" customFormat="1">
      <c r="A2035" s="1522"/>
      <c r="B2035" s="1522"/>
      <c r="C2035" s="1522"/>
      <c r="D2035" s="1552"/>
      <c r="E2035" s="1545"/>
      <c r="F2035" s="1546"/>
      <c r="G2035" s="1457"/>
      <c r="H2035" s="1547"/>
      <c r="I2035" s="1541"/>
      <c r="J2035" s="1548"/>
      <c r="K2035" s="1591"/>
      <c r="L2035" s="1538"/>
    </row>
    <row r="2036" spans="1:12" s="1572" customFormat="1">
      <c r="A2036" s="1522"/>
      <c r="B2036" s="1522"/>
      <c r="C2036" s="1522"/>
      <c r="D2036" s="1552"/>
      <c r="E2036" s="1545"/>
      <c r="F2036" s="1546"/>
      <c r="G2036" s="1457"/>
      <c r="H2036" s="1547"/>
      <c r="I2036" s="1541"/>
      <c r="J2036" s="1548"/>
      <c r="K2036" s="1591"/>
      <c r="L2036" s="1538"/>
    </row>
    <row r="2037" spans="1:12" s="1572" customFormat="1">
      <c r="A2037" s="1522"/>
      <c r="B2037" s="1522"/>
      <c r="C2037" s="1522"/>
      <c r="D2037" s="1552"/>
      <c r="E2037" s="1545"/>
      <c r="F2037" s="1546"/>
      <c r="G2037" s="1457"/>
      <c r="H2037" s="1547"/>
      <c r="I2037" s="1541"/>
      <c r="J2037" s="1548"/>
      <c r="K2037" s="1591"/>
      <c r="L2037" s="1538"/>
    </row>
    <row r="2038" spans="1:12" s="1572" customFormat="1">
      <c r="A2038" s="1522"/>
      <c r="B2038" s="1522"/>
      <c r="C2038" s="1522"/>
      <c r="D2038" s="1552"/>
      <c r="E2038" s="1545"/>
      <c r="F2038" s="1546"/>
      <c r="G2038" s="1457"/>
      <c r="H2038" s="1547"/>
      <c r="I2038" s="1541"/>
      <c r="J2038" s="1548"/>
      <c r="K2038" s="1591"/>
      <c r="L2038" s="1538"/>
    </row>
    <row r="2039" spans="1:12" s="1572" customFormat="1">
      <c r="A2039" s="1522"/>
      <c r="B2039" s="1522"/>
      <c r="C2039" s="1522"/>
      <c r="D2039" s="1552"/>
      <c r="E2039" s="1545"/>
      <c r="F2039" s="1546"/>
      <c r="G2039" s="1457"/>
      <c r="H2039" s="1547"/>
      <c r="I2039" s="1541"/>
      <c r="J2039" s="1548"/>
      <c r="K2039" s="1591"/>
      <c r="L2039" s="1538"/>
    </row>
    <row r="2040" spans="1:12" s="1572" customFormat="1">
      <c r="A2040" s="1522"/>
      <c r="B2040" s="1522"/>
      <c r="C2040" s="1522"/>
      <c r="D2040" s="1552"/>
      <c r="E2040" s="1545"/>
      <c r="F2040" s="1546"/>
      <c r="G2040" s="1457"/>
      <c r="H2040" s="1547"/>
      <c r="I2040" s="1541"/>
      <c r="J2040" s="1548"/>
      <c r="K2040" s="1591"/>
      <c r="L2040" s="1538"/>
    </row>
    <row r="2041" spans="1:12" s="1572" customFormat="1">
      <c r="A2041" s="1522"/>
      <c r="B2041" s="1522"/>
      <c r="C2041" s="1522"/>
      <c r="D2041" s="1552"/>
      <c r="E2041" s="1545"/>
      <c r="F2041" s="1546"/>
      <c r="G2041" s="1457"/>
      <c r="H2041" s="1547"/>
      <c r="I2041" s="1541"/>
      <c r="J2041" s="1548"/>
      <c r="K2041" s="1591"/>
      <c r="L2041" s="1538"/>
    </row>
    <row r="2042" spans="1:12" s="1572" customFormat="1">
      <c r="A2042" s="1522"/>
      <c r="B2042" s="1522"/>
      <c r="C2042" s="1522"/>
      <c r="D2042" s="1552"/>
      <c r="E2042" s="1545"/>
      <c r="F2042" s="1546"/>
      <c r="G2042" s="1457"/>
      <c r="H2042" s="1547"/>
      <c r="I2042" s="1541"/>
      <c r="J2042" s="1548"/>
      <c r="K2042" s="1591"/>
      <c r="L2042" s="1538"/>
    </row>
    <row r="2043" spans="1:12" s="1572" customFormat="1">
      <c r="A2043" s="1522"/>
      <c r="B2043" s="1522"/>
      <c r="C2043" s="1522"/>
      <c r="D2043" s="1552"/>
      <c r="E2043" s="1545"/>
      <c r="F2043" s="1546"/>
      <c r="G2043" s="1457"/>
      <c r="H2043" s="1547"/>
      <c r="I2043" s="1541"/>
      <c r="J2043" s="1548"/>
      <c r="K2043" s="1591"/>
      <c r="L2043" s="1538"/>
    </row>
    <row r="2044" spans="1:12" s="1572" customFormat="1">
      <c r="A2044" s="1522"/>
      <c r="B2044" s="1522"/>
      <c r="C2044" s="1522"/>
      <c r="D2044" s="1552"/>
      <c r="E2044" s="1545"/>
      <c r="F2044" s="1546"/>
      <c r="G2044" s="1457"/>
      <c r="H2044" s="1547"/>
      <c r="I2044" s="1541"/>
      <c r="J2044" s="1548"/>
      <c r="K2044" s="1591"/>
      <c r="L2044" s="1538"/>
    </row>
    <row r="2045" spans="1:12" s="1572" customFormat="1">
      <c r="A2045" s="1522"/>
      <c r="B2045" s="1522"/>
      <c r="C2045" s="1522"/>
      <c r="D2045" s="1552"/>
      <c r="E2045" s="1545"/>
      <c r="F2045" s="1546"/>
      <c r="G2045" s="1457"/>
      <c r="H2045" s="1547"/>
      <c r="I2045" s="1541"/>
      <c r="J2045" s="1548"/>
      <c r="K2045" s="1591"/>
      <c r="L2045" s="1538"/>
    </row>
    <row r="2046" spans="1:12" s="1572" customFormat="1">
      <c r="A2046" s="1522"/>
      <c r="B2046" s="1522"/>
      <c r="C2046" s="1522"/>
      <c r="D2046" s="1552"/>
      <c r="E2046" s="1545"/>
      <c r="F2046" s="1546"/>
      <c r="G2046" s="1457"/>
      <c r="H2046" s="1547"/>
      <c r="I2046" s="1541"/>
      <c r="J2046" s="1548"/>
      <c r="K2046" s="1591"/>
      <c r="L2046" s="1538"/>
    </row>
    <row r="2047" spans="1:12" s="1572" customFormat="1">
      <c r="A2047" s="1522"/>
      <c r="B2047" s="1522"/>
      <c r="C2047" s="1522"/>
      <c r="D2047" s="1552"/>
      <c r="E2047" s="1545"/>
      <c r="F2047" s="1546"/>
      <c r="G2047" s="1457"/>
      <c r="H2047" s="1547"/>
      <c r="I2047" s="1541"/>
      <c r="J2047" s="1548"/>
      <c r="K2047" s="1591"/>
      <c r="L2047" s="1538"/>
    </row>
    <row r="2048" spans="1:12" s="1572" customFormat="1">
      <c r="A2048" s="1522"/>
      <c r="B2048" s="1522"/>
      <c r="C2048" s="1522"/>
      <c r="D2048" s="1552"/>
      <c r="E2048" s="1545"/>
      <c r="F2048" s="1546"/>
      <c r="G2048" s="1457"/>
      <c r="H2048" s="1547"/>
      <c r="I2048" s="1541"/>
      <c r="J2048" s="1548"/>
      <c r="K2048" s="1591"/>
      <c r="L2048" s="1538"/>
    </row>
    <row r="2049" spans="1:12" s="1572" customFormat="1">
      <c r="A2049" s="1522"/>
      <c r="B2049" s="1522"/>
      <c r="C2049" s="1522"/>
      <c r="D2049" s="1552"/>
      <c r="E2049" s="1545"/>
      <c r="F2049" s="1546"/>
      <c r="G2049" s="1457"/>
      <c r="H2049" s="1547"/>
      <c r="I2049" s="1541"/>
      <c r="J2049" s="1548"/>
      <c r="K2049" s="1591"/>
      <c r="L2049" s="1538"/>
    </row>
  </sheetData>
  <sheetProtection password="C891" sheet="1" objects="1" scenarios="1"/>
  <mergeCells count="2">
    <mergeCell ref="A3:C3"/>
    <mergeCell ref="A4:C4"/>
  </mergeCells>
  <pageMargins left="0.7" right="0.7" top="0.75" bottom="0.75" header="0.3" footer="0.3"/>
  <pageSetup orientation="portrait" r:id="rId1"/>
  <headerFooter>
    <oddHeader xml:space="preserve">&amp;LInvestitor: Hrvatski institut za povijest&amp;CTroškovnik - Elektrotehničke
instalacije
&amp;Rdatum:
lipanj 2025.
</oddHeader>
    <oddFooter xml:space="preserve">&amp;CGrađevina:
Palača bogoštovlja i nastave&amp;Rstr.: &amp;P od &amp;N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2:K1241"/>
  <sheetViews>
    <sheetView zoomScaleNormal="100" zoomScaleSheetLayoutView="100" workbookViewId="0">
      <selection activeCell="D9" sqref="D9"/>
    </sheetView>
  </sheetViews>
  <sheetFormatPr defaultColWidth="11.5703125" defaultRowHeight="12.75"/>
  <cols>
    <col min="1" max="1" width="2.85546875" style="1345" customWidth="1"/>
    <col min="2" max="2" width="8.7109375" style="1350" customWidth="1"/>
    <col min="3" max="3" width="60.7109375" style="1352" customWidth="1"/>
    <col min="4" max="6" width="10.7109375" style="1343" customWidth="1"/>
    <col min="7" max="7" width="15.7109375" style="1369" customWidth="1"/>
    <col min="8" max="8" width="3" style="1345" customWidth="1"/>
    <col min="9" max="9" width="13.28515625" style="1340" customWidth="1"/>
    <col min="10" max="257" width="11.5703125" style="1345"/>
    <col min="258" max="258" width="8.7109375" style="1345" customWidth="1"/>
    <col min="259" max="259" width="60.7109375" style="1345" customWidth="1"/>
    <col min="260" max="262" width="10.7109375" style="1345" customWidth="1"/>
    <col min="263" max="263" width="15.7109375" style="1345" customWidth="1"/>
    <col min="264" max="513" width="11.5703125" style="1345"/>
    <col min="514" max="514" width="8.7109375" style="1345" customWidth="1"/>
    <col min="515" max="515" width="60.7109375" style="1345" customWidth="1"/>
    <col min="516" max="518" width="10.7109375" style="1345" customWidth="1"/>
    <col min="519" max="519" width="15.7109375" style="1345" customWidth="1"/>
    <col min="520" max="769" width="11.5703125" style="1345"/>
    <col min="770" max="770" width="8.7109375" style="1345" customWidth="1"/>
    <col min="771" max="771" width="60.7109375" style="1345" customWidth="1"/>
    <col min="772" max="774" width="10.7109375" style="1345" customWidth="1"/>
    <col min="775" max="775" width="15.7109375" style="1345" customWidth="1"/>
    <col min="776" max="1025" width="11.5703125" style="1345"/>
    <col min="1026" max="1026" width="8.7109375" style="1345" customWidth="1"/>
    <col min="1027" max="1027" width="60.7109375" style="1345" customWidth="1"/>
    <col min="1028" max="1030" width="10.7109375" style="1345" customWidth="1"/>
    <col min="1031" max="1031" width="15.7109375" style="1345" customWidth="1"/>
    <col min="1032" max="1281" width="11.5703125" style="1345"/>
    <col min="1282" max="1282" width="8.7109375" style="1345" customWidth="1"/>
    <col min="1283" max="1283" width="60.7109375" style="1345" customWidth="1"/>
    <col min="1284" max="1286" width="10.7109375" style="1345" customWidth="1"/>
    <col min="1287" max="1287" width="15.7109375" style="1345" customWidth="1"/>
    <col min="1288" max="1537" width="11.5703125" style="1345"/>
    <col min="1538" max="1538" width="8.7109375" style="1345" customWidth="1"/>
    <col min="1539" max="1539" width="60.7109375" style="1345" customWidth="1"/>
    <col min="1540" max="1542" width="10.7109375" style="1345" customWidth="1"/>
    <col min="1543" max="1543" width="15.7109375" style="1345" customWidth="1"/>
    <col min="1544" max="1793" width="11.5703125" style="1345"/>
    <col min="1794" max="1794" width="8.7109375" style="1345" customWidth="1"/>
    <col min="1795" max="1795" width="60.7109375" style="1345" customWidth="1"/>
    <col min="1796" max="1798" width="10.7109375" style="1345" customWidth="1"/>
    <col min="1799" max="1799" width="15.7109375" style="1345" customWidth="1"/>
    <col min="1800" max="2049" width="11.5703125" style="1345"/>
    <col min="2050" max="2050" width="8.7109375" style="1345" customWidth="1"/>
    <col min="2051" max="2051" width="60.7109375" style="1345" customWidth="1"/>
    <col min="2052" max="2054" width="10.7109375" style="1345" customWidth="1"/>
    <col min="2055" max="2055" width="15.7109375" style="1345" customWidth="1"/>
    <col min="2056" max="2305" width="11.5703125" style="1345"/>
    <col min="2306" max="2306" width="8.7109375" style="1345" customWidth="1"/>
    <col min="2307" max="2307" width="60.7109375" style="1345" customWidth="1"/>
    <col min="2308" max="2310" width="10.7109375" style="1345" customWidth="1"/>
    <col min="2311" max="2311" width="15.7109375" style="1345" customWidth="1"/>
    <col min="2312" max="2561" width="11.5703125" style="1345"/>
    <col min="2562" max="2562" width="8.7109375" style="1345" customWidth="1"/>
    <col min="2563" max="2563" width="60.7109375" style="1345" customWidth="1"/>
    <col min="2564" max="2566" width="10.7109375" style="1345" customWidth="1"/>
    <col min="2567" max="2567" width="15.7109375" style="1345" customWidth="1"/>
    <col min="2568" max="2817" width="11.5703125" style="1345"/>
    <col min="2818" max="2818" width="8.7109375" style="1345" customWidth="1"/>
    <col min="2819" max="2819" width="60.7109375" style="1345" customWidth="1"/>
    <col min="2820" max="2822" width="10.7109375" style="1345" customWidth="1"/>
    <col min="2823" max="2823" width="15.7109375" style="1345" customWidth="1"/>
    <col min="2824" max="3073" width="11.5703125" style="1345"/>
    <col min="3074" max="3074" width="8.7109375" style="1345" customWidth="1"/>
    <col min="3075" max="3075" width="60.7109375" style="1345" customWidth="1"/>
    <col min="3076" max="3078" width="10.7109375" style="1345" customWidth="1"/>
    <col min="3079" max="3079" width="15.7109375" style="1345" customWidth="1"/>
    <col min="3080" max="3329" width="11.5703125" style="1345"/>
    <col min="3330" max="3330" width="8.7109375" style="1345" customWidth="1"/>
    <col min="3331" max="3331" width="60.7109375" style="1345" customWidth="1"/>
    <col min="3332" max="3334" width="10.7109375" style="1345" customWidth="1"/>
    <col min="3335" max="3335" width="15.7109375" style="1345" customWidth="1"/>
    <col min="3336" max="3585" width="11.5703125" style="1345"/>
    <col min="3586" max="3586" width="8.7109375" style="1345" customWidth="1"/>
    <col min="3587" max="3587" width="60.7109375" style="1345" customWidth="1"/>
    <col min="3588" max="3590" width="10.7109375" style="1345" customWidth="1"/>
    <col min="3591" max="3591" width="15.7109375" style="1345" customWidth="1"/>
    <col min="3592" max="3841" width="11.5703125" style="1345"/>
    <col min="3842" max="3842" width="8.7109375" style="1345" customWidth="1"/>
    <col min="3843" max="3843" width="60.7109375" style="1345" customWidth="1"/>
    <col min="3844" max="3846" width="10.7109375" style="1345" customWidth="1"/>
    <col min="3847" max="3847" width="15.7109375" style="1345" customWidth="1"/>
    <col min="3848" max="4097" width="11.5703125" style="1345"/>
    <col min="4098" max="4098" width="8.7109375" style="1345" customWidth="1"/>
    <col min="4099" max="4099" width="60.7109375" style="1345" customWidth="1"/>
    <col min="4100" max="4102" width="10.7109375" style="1345" customWidth="1"/>
    <col min="4103" max="4103" width="15.7109375" style="1345" customWidth="1"/>
    <col min="4104" max="4353" width="11.5703125" style="1345"/>
    <col min="4354" max="4354" width="8.7109375" style="1345" customWidth="1"/>
    <col min="4355" max="4355" width="60.7109375" style="1345" customWidth="1"/>
    <col min="4356" max="4358" width="10.7109375" style="1345" customWidth="1"/>
    <col min="4359" max="4359" width="15.7109375" style="1345" customWidth="1"/>
    <col min="4360" max="4609" width="11.5703125" style="1345"/>
    <col min="4610" max="4610" width="8.7109375" style="1345" customWidth="1"/>
    <col min="4611" max="4611" width="60.7109375" style="1345" customWidth="1"/>
    <col min="4612" max="4614" width="10.7109375" style="1345" customWidth="1"/>
    <col min="4615" max="4615" width="15.7109375" style="1345" customWidth="1"/>
    <col min="4616" max="4865" width="11.5703125" style="1345"/>
    <col min="4866" max="4866" width="8.7109375" style="1345" customWidth="1"/>
    <col min="4867" max="4867" width="60.7109375" style="1345" customWidth="1"/>
    <col min="4868" max="4870" width="10.7109375" style="1345" customWidth="1"/>
    <col min="4871" max="4871" width="15.7109375" style="1345" customWidth="1"/>
    <col min="4872" max="5121" width="11.5703125" style="1345"/>
    <col min="5122" max="5122" width="8.7109375" style="1345" customWidth="1"/>
    <col min="5123" max="5123" width="60.7109375" style="1345" customWidth="1"/>
    <col min="5124" max="5126" width="10.7109375" style="1345" customWidth="1"/>
    <col min="5127" max="5127" width="15.7109375" style="1345" customWidth="1"/>
    <col min="5128" max="5377" width="11.5703125" style="1345"/>
    <col min="5378" max="5378" width="8.7109375" style="1345" customWidth="1"/>
    <col min="5379" max="5379" width="60.7109375" style="1345" customWidth="1"/>
    <col min="5380" max="5382" width="10.7109375" style="1345" customWidth="1"/>
    <col min="5383" max="5383" width="15.7109375" style="1345" customWidth="1"/>
    <col min="5384" max="5633" width="11.5703125" style="1345"/>
    <col min="5634" max="5634" width="8.7109375" style="1345" customWidth="1"/>
    <col min="5635" max="5635" width="60.7109375" style="1345" customWidth="1"/>
    <col min="5636" max="5638" width="10.7109375" style="1345" customWidth="1"/>
    <col min="5639" max="5639" width="15.7109375" style="1345" customWidth="1"/>
    <col min="5640" max="5889" width="11.5703125" style="1345"/>
    <col min="5890" max="5890" width="8.7109375" style="1345" customWidth="1"/>
    <col min="5891" max="5891" width="60.7109375" style="1345" customWidth="1"/>
    <col min="5892" max="5894" width="10.7109375" style="1345" customWidth="1"/>
    <col min="5895" max="5895" width="15.7109375" style="1345" customWidth="1"/>
    <col min="5896" max="6145" width="11.5703125" style="1345"/>
    <col min="6146" max="6146" width="8.7109375" style="1345" customWidth="1"/>
    <col min="6147" max="6147" width="60.7109375" style="1345" customWidth="1"/>
    <col min="6148" max="6150" width="10.7109375" style="1345" customWidth="1"/>
    <col min="6151" max="6151" width="15.7109375" style="1345" customWidth="1"/>
    <col min="6152" max="6401" width="11.5703125" style="1345"/>
    <col min="6402" max="6402" width="8.7109375" style="1345" customWidth="1"/>
    <col min="6403" max="6403" width="60.7109375" style="1345" customWidth="1"/>
    <col min="6404" max="6406" width="10.7109375" style="1345" customWidth="1"/>
    <col min="6407" max="6407" width="15.7109375" style="1345" customWidth="1"/>
    <col min="6408" max="6657" width="11.5703125" style="1345"/>
    <col min="6658" max="6658" width="8.7109375" style="1345" customWidth="1"/>
    <col min="6659" max="6659" width="60.7109375" style="1345" customWidth="1"/>
    <col min="6660" max="6662" width="10.7109375" style="1345" customWidth="1"/>
    <col min="6663" max="6663" width="15.7109375" style="1345" customWidth="1"/>
    <col min="6664" max="6913" width="11.5703125" style="1345"/>
    <col min="6914" max="6914" width="8.7109375" style="1345" customWidth="1"/>
    <col min="6915" max="6915" width="60.7109375" style="1345" customWidth="1"/>
    <col min="6916" max="6918" width="10.7109375" style="1345" customWidth="1"/>
    <col min="6919" max="6919" width="15.7109375" style="1345" customWidth="1"/>
    <col min="6920" max="7169" width="11.5703125" style="1345"/>
    <col min="7170" max="7170" width="8.7109375" style="1345" customWidth="1"/>
    <col min="7171" max="7171" width="60.7109375" style="1345" customWidth="1"/>
    <col min="7172" max="7174" width="10.7109375" style="1345" customWidth="1"/>
    <col min="7175" max="7175" width="15.7109375" style="1345" customWidth="1"/>
    <col min="7176" max="7425" width="11.5703125" style="1345"/>
    <col min="7426" max="7426" width="8.7109375" style="1345" customWidth="1"/>
    <col min="7427" max="7427" width="60.7109375" style="1345" customWidth="1"/>
    <col min="7428" max="7430" width="10.7109375" style="1345" customWidth="1"/>
    <col min="7431" max="7431" width="15.7109375" style="1345" customWidth="1"/>
    <col min="7432" max="7681" width="11.5703125" style="1345"/>
    <col min="7682" max="7682" width="8.7109375" style="1345" customWidth="1"/>
    <col min="7683" max="7683" width="60.7109375" style="1345" customWidth="1"/>
    <col min="7684" max="7686" width="10.7109375" style="1345" customWidth="1"/>
    <col min="7687" max="7687" width="15.7109375" style="1345" customWidth="1"/>
    <col min="7688" max="7937" width="11.5703125" style="1345"/>
    <col min="7938" max="7938" width="8.7109375" style="1345" customWidth="1"/>
    <col min="7939" max="7939" width="60.7109375" style="1345" customWidth="1"/>
    <col min="7940" max="7942" width="10.7109375" style="1345" customWidth="1"/>
    <col min="7943" max="7943" width="15.7109375" style="1345" customWidth="1"/>
    <col min="7944" max="8193" width="11.5703125" style="1345"/>
    <col min="8194" max="8194" width="8.7109375" style="1345" customWidth="1"/>
    <col min="8195" max="8195" width="60.7109375" style="1345" customWidth="1"/>
    <col min="8196" max="8198" width="10.7109375" style="1345" customWidth="1"/>
    <col min="8199" max="8199" width="15.7109375" style="1345" customWidth="1"/>
    <col min="8200" max="8449" width="11.5703125" style="1345"/>
    <col min="8450" max="8450" width="8.7109375" style="1345" customWidth="1"/>
    <col min="8451" max="8451" width="60.7109375" style="1345" customWidth="1"/>
    <col min="8452" max="8454" width="10.7109375" style="1345" customWidth="1"/>
    <col min="8455" max="8455" width="15.7109375" style="1345" customWidth="1"/>
    <col min="8456" max="8705" width="11.5703125" style="1345"/>
    <col min="8706" max="8706" width="8.7109375" style="1345" customWidth="1"/>
    <col min="8707" max="8707" width="60.7109375" style="1345" customWidth="1"/>
    <col min="8708" max="8710" width="10.7109375" style="1345" customWidth="1"/>
    <col min="8711" max="8711" width="15.7109375" style="1345" customWidth="1"/>
    <col min="8712" max="8961" width="11.5703125" style="1345"/>
    <col min="8962" max="8962" width="8.7109375" style="1345" customWidth="1"/>
    <col min="8963" max="8963" width="60.7109375" style="1345" customWidth="1"/>
    <col min="8964" max="8966" width="10.7109375" style="1345" customWidth="1"/>
    <col min="8967" max="8967" width="15.7109375" style="1345" customWidth="1"/>
    <col min="8968" max="9217" width="11.5703125" style="1345"/>
    <col min="9218" max="9218" width="8.7109375" style="1345" customWidth="1"/>
    <col min="9219" max="9219" width="60.7109375" style="1345" customWidth="1"/>
    <col min="9220" max="9222" width="10.7109375" style="1345" customWidth="1"/>
    <col min="9223" max="9223" width="15.7109375" style="1345" customWidth="1"/>
    <col min="9224" max="9473" width="11.5703125" style="1345"/>
    <col min="9474" max="9474" width="8.7109375" style="1345" customWidth="1"/>
    <col min="9475" max="9475" width="60.7109375" style="1345" customWidth="1"/>
    <col min="9476" max="9478" width="10.7109375" style="1345" customWidth="1"/>
    <col min="9479" max="9479" width="15.7109375" style="1345" customWidth="1"/>
    <col min="9480" max="9729" width="11.5703125" style="1345"/>
    <col min="9730" max="9730" width="8.7109375" style="1345" customWidth="1"/>
    <col min="9731" max="9731" width="60.7109375" style="1345" customWidth="1"/>
    <col min="9732" max="9734" width="10.7109375" style="1345" customWidth="1"/>
    <col min="9735" max="9735" width="15.7109375" style="1345" customWidth="1"/>
    <col min="9736" max="9985" width="11.5703125" style="1345"/>
    <col min="9986" max="9986" width="8.7109375" style="1345" customWidth="1"/>
    <col min="9987" max="9987" width="60.7109375" style="1345" customWidth="1"/>
    <col min="9988" max="9990" width="10.7109375" style="1345" customWidth="1"/>
    <col min="9991" max="9991" width="15.7109375" style="1345" customWidth="1"/>
    <col min="9992" max="10241" width="11.5703125" style="1345"/>
    <col min="10242" max="10242" width="8.7109375" style="1345" customWidth="1"/>
    <col min="10243" max="10243" width="60.7109375" style="1345" customWidth="1"/>
    <col min="10244" max="10246" width="10.7109375" style="1345" customWidth="1"/>
    <col min="10247" max="10247" width="15.7109375" style="1345" customWidth="1"/>
    <col min="10248" max="10497" width="11.5703125" style="1345"/>
    <col min="10498" max="10498" width="8.7109375" style="1345" customWidth="1"/>
    <col min="10499" max="10499" width="60.7109375" style="1345" customWidth="1"/>
    <col min="10500" max="10502" width="10.7109375" style="1345" customWidth="1"/>
    <col min="10503" max="10503" width="15.7109375" style="1345" customWidth="1"/>
    <col min="10504" max="10753" width="11.5703125" style="1345"/>
    <col min="10754" max="10754" width="8.7109375" style="1345" customWidth="1"/>
    <col min="10755" max="10755" width="60.7109375" style="1345" customWidth="1"/>
    <col min="10756" max="10758" width="10.7109375" style="1345" customWidth="1"/>
    <col min="10759" max="10759" width="15.7109375" style="1345" customWidth="1"/>
    <col min="10760" max="11009" width="11.5703125" style="1345"/>
    <col min="11010" max="11010" width="8.7109375" style="1345" customWidth="1"/>
    <col min="11011" max="11011" width="60.7109375" style="1345" customWidth="1"/>
    <col min="11012" max="11014" width="10.7109375" style="1345" customWidth="1"/>
    <col min="11015" max="11015" width="15.7109375" style="1345" customWidth="1"/>
    <col min="11016" max="11265" width="11.5703125" style="1345"/>
    <col min="11266" max="11266" width="8.7109375" style="1345" customWidth="1"/>
    <col min="11267" max="11267" width="60.7109375" style="1345" customWidth="1"/>
    <col min="11268" max="11270" width="10.7109375" style="1345" customWidth="1"/>
    <col min="11271" max="11271" width="15.7109375" style="1345" customWidth="1"/>
    <col min="11272" max="11521" width="11.5703125" style="1345"/>
    <col min="11522" max="11522" width="8.7109375" style="1345" customWidth="1"/>
    <col min="11523" max="11523" width="60.7109375" style="1345" customWidth="1"/>
    <col min="11524" max="11526" width="10.7109375" style="1345" customWidth="1"/>
    <col min="11527" max="11527" width="15.7109375" style="1345" customWidth="1"/>
    <col min="11528" max="11777" width="11.5703125" style="1345"/>
    <col min="11778" max="11778" width="8.7109375" style="1345" customWidth="1"/>
    <col min="11779" max="11779" width="60.7109375" style="1345" customWidth="1"/>
    <col min="11780" max="11782" width="10.7109375" style="1345" customWidth="1"/>
    <col min="11783" max="11783" width="15.7109375" style="1345" customWidth="1"/>
    <col min="11784" max="12033" width="11.5703125" style="1345"/>
    <col min="12034" max="12034" width="8.7109375" style="1345" customWidth="1"/>
    <col min="12035" max="12035" width="60.7109375" style="1345" customWidth="1"/>
    <col min="12036" max="12038" width="10.7109375" style="1345" customWidth="1"/>
    <col min="12039" max="12039" width="15.7109375" style="1345" customWidth="1"/>
    <col min="12040" max="12289" width="11.5703125" style="1345"/>
    <col min="12290" max="12290" width="8.7109375" style="1345" customWidth="1"/>
    <col min="12291" max="12291" width="60.7109375" style="1345" customWidth="1"/>
    <col min="12292" max="12294" width="10.7109375" style="1345" customWidth="1"/>
    <col min="12295" max="12295" width="15.7109375" style="1345" customWidth="1"/>
    <col min="12296" max="12545" width="11.5703125" style="1345"/>
    <col min="12546" max="12546" width="8.7109375" style="1345" customWidth="1"/>
    <col min="12547" max="12547" width="60.7109375" style="1345" customWidth="1"/>
    <col min="12548" max="12550" width="10.7109375" style="1345" customWidth="1"/>
    <col min="12551" max="12551" width="15.7109375" style="1345" customWidth="1"/>
    <col min="12552" max="12801" width="11.5703125" style="1345"/>
    <col min="12802" max="12802" width="8.7109375" style="1345" customWidth="1"/>
    <col min="12803" max="12803" width="60.7109375" style="1345" customWidth="1"/>
    <col min="12804" max="12806" width="10.7109375" style="1345" customWidth="1"/>
    <col min="12807" max="12807" width="15.7109375" style="1345" customWidth="1"/>
    <col min="12808" max="13057" width="11.5703125" style="1345"/>
    <col min="13058" max="13058" width="8.7109375" style="1345" customWidth="1"/>
    <col min="13059" max="13059" width="60.7109375" style="1345" customWidth="1"/>
    <col min="13060" max="13062" width="10.7109375" style="1345" customWidth="1"/>
    <col min="13063" max="13063" width="15.7109375" style="1345" customWidth="1"/>
    <col min="13064" max="13313" width="11.5703125" style="1345"/>
    <col min="13314" max="13314" width="8.7109375" style="1345" customWidth="1"/>
    <col min="13315" max="13315" width="60.7109375" style="1345" customWidth="1"/>
    <col min="13316" max="13318" width="10.7109375" style="1345" customWidth="1"/>
    <col min="13319" max="13319" width="15.7109375" style="1345" customWidth="1"/>
    <col min="13320" max="13569" width="11.5703125" style="1345"/>
    <col min="13570" max="13570" width="8.7109375" style="1345" customWidth="1"/>
    <col min="13571" max="13571" width="60.7109375" style="1345" customWidth="1"/>
    <col min="13572" max="13574" width="10.7109375" style="1345" customWidth="1"/>
    <col min="13575" max="13575" width="15.7109375" style="1345" customWidth="1"/>
    <col min="13576" max="13825" width="11.5703125" style="1345"/>
    <col min="13826" max="13826" width="8.7109375" style="1345" customWidth="1"/>
    <col min="13827" max="13827" width="60.7109375" style="1345" customWidth="1"/>
    <col min="13828" max="13830" width="10.7109375" style="1345" customWidth="1"/>
    <col min="13831" max="13831" width="15.7109375" style="1345" customWidth="1"/>
    <col min="13832" max="14081" width="11.5703125" style="1345"/>
    <col min="14082" max="14082" width="8.7109375" style="1345" customWidth="1"/>
    <col min="14083" max="14083" width="60.7109375" style="1345" customWidth="1"/>
    <col min="14084" max="14086" width="10.7109375" style="1345" customWidth="1"/>
    <col min="14087" max="14087" width="15.7109375" style="1345" customWidth="1"/>
    <col min="14088" max="14337" width="11.5703125" style="1345"/>
    <col min="14338" max="14338" width="8.7109375" style="1345" customWidth="1"/>
    <col min="14339" max="14339" width="60.7109375" style="1345" customWidth="1"/>
    <col min="14340" max="14342" width="10.7109375" style="1345" customWidth="1"/>
    <col min="14343" max="14343" width="15.7109375" style="1345" customWidth="1"/>
    <col min="14344" max="14593" width="11.5703125" style="1345"/>
    <col min="14594" max="14594" width="8.7109375" style="1345" customWidth="1"/>
    <col min="14595" max="14595" width="60.7109375" style="1345" customWidth="1"/>
    <col min="14596" max="14598" width="10.7109375" style="1345" customWidth="1"/>
    <col min="14599" max="14599" width="15.7109375" style="1345" customWidth="1"/>
    <col min="14600" max="14849" width="11.5703125" style="1345"/>
    <col min="14850" max="14850" width="8.7109375" style="1345" customWidth="1"/>
    <col min="14851" max="14851" width="60.7109375" style="1345" customWidth="1"/>
    <col min="14852" max="14854" width="10.7109375" style="1345" customWidth="1"/>
    <col min="14855" max="14855" width="15.7109375" style="1345" customWidth="1"/>
    <col min="14856" max="15105" width="11.5703125" style="1345"/>
    <col min="15106" max="15106" width="8.7109375" style="1345" customWidth="1"/>
    <col min="15107" max="15107" width="60.7109375" style="1345" customWidth="1"/>
    <col min="15108" max="15110" width="10.7109375" style="1345" customWidth="1"/>
    <col min="15111" max="15111" width="15.7109375" style="1345" customWidth="1"/>
    <col min="15112" max="15361" width="11.5703125" style="1345"/>
    <col min="15362" max="15362" width="8.7109375" style="1345" customWidth="1"/>
    <col min="15363" max="15363" width="60.7109375" style="1345" customWidth="1"/>
    <col min="15364" max="15366" width="10.7109375" style="1345" customWidth="1"/>
    <col min="15367" max="15367" width="15.7109375" style="1345" customWidth="1"/>
    <col min="15368" max="15617" width="11.5703125" style="1345"/>
    <col min="15618" max="15618" width="8.7109375" style="1345" customWidth="1"/>
    <col min="15619" max="15619" width="60.7109375" style="1345" customWidth="1"/>
    <col min="15620" max="15622" width="10.7109375" style="1345" customWidth="1"/>
    <col min="15623" max="15623" width="15.7109375" style="1345" customWidth="1"/>
    <col min="15624" max="15873" width="11.5703125" style="1345"/>
    <col min="15874" max="15874" width="8.7109375" style="1345" customWidth="1"/>
    <col min="15875" max="15875" width="60.7109375" style="1345" customWidth="1"/>
    <col min="15876" max="15878" width="10.7109375" style="1345" customWidth="1"/>
    <col min="15879" max="15879" width="15.7109375" style="1345" customWidth="1"/>
    <col min="15880" max="16129" width="11.5703125" style="1345"/>
    <col min="16130" max="16130" width="8.7109375" style="1345" customWidth="1"/>
    <col min="16131" max="16131" width="60.7109375" style="1345" customWidth="1"/>
    <col min="16132" max="16134" width="10.7109375" style="1345" customWidth="1"/>
    <col min="16135" max="16135" width="15.7109375" style="1345" customWidth="1"/>
    <col min="16136" max="16384" width="11.5703125" style="1345"/>
  </cols>
  <sheetData>
    <row r="2" spans="2:9" s="1339" customFormat="1" ht="26.25" thickBot="1">
      <c r="B2" s="1336" t="s">
        <v>2807</v>
      </c>
      <c r="C2" s="1337" t="s">
        <v>2808</v>
      </c>
      <c r="D2" s="1338" t="s">
        <v>2809</v>
      </c>
      <c r="E2" s="1338" t="s">
        <v>99</v>
      </c>
      <c r="F2" s="1338" t="s">
        <v>2810</v>
      </c>
      <c r="G2" s="1337" t="s">
        <v>2811</v>
      </c>
      <c r="I2" s="1340"/>
    </row>
    <row r="3" spans="2:9" ht="13.5" thickTop="1">
      <c r="B3" s="1341"/>
      <c r="C3" s="1342"/>
      <c r="G3" s="1344"/>
    </row>
    <row r="4" spans="2:9">
      <c r="B4" s="1346" t="s">
        <v>977</v>
      </c>
      <c r="C4" s="1347" t="s">
        <v>2812</v>
      </c>
      <c r="D4" s="1348"/>
      <c r="E4" s="1348"/>
      <c r="F4" s="1348"/>
      <c r="G4" s="1349"/>
    </row>
    <row r="5" spans="2:9">
      <c r="C5" s="1342"/>
      <c r="G5" s="1351"/>
    </row>
    <row r="6" spans="2:9">
      <c r="C6" s="1342"/>
      <c r="G6" s="1351"/>
    </row>
    <row r="7" spans="2:9">
      <c r="B7" s="1350" t="s">
        <v>2813</v>
      </c>
      <c r="C7" s="1352" t="s">
        <v>2814</v>
      </c>
      <c r="G7" s="1353"/>
    </row>
    <row r="8" spans="2:9" ht="102">
      <c r="B8" s="1354"/>
      <c r="C8" s="1355" t="s">
        <v>2815</v>
      </c>
      <c r="D8" s="1356"/>
      <c r="E8" s="1356"/>
      <c r="F8" s="62"/>
      <c r="G8" s="1353"/>
    </row>
    <row r="9" spans="2:9">
      <c r="B9" s="1354"/>
      <c r="C9" s="1355" t="s">
        <v>2816</v>
      </c>
      <c r="D9" s="1343" t="s">
        <v>82</v>
      </c>
      <c r="E9" s="1343">
        <v>1</v>
      </c>
      <c r="F9" s="62"/>
      <c r="G9" s="1353">
        <f>E9*F9</f>
        <v>0</v>
      </c>
    </row>
    <row r="10" spans="2:9">
      <c r="B10" s="1354"/>
      <c r="C10" s="1355"/>
      <c r="F10" s="62"/>
      <c r="G10" s="1353"/>
    </row>
    <row r="11" spans="2:9">
      <c r="B11" s="1350" t="s">
        <v>2817</v>
      </c>
      <c r="C11" s="1355" t="s">
        <v>2818</v>
      </c>
      <c r="F11" s="62"/>
      <c r="G11" s="1353"/>
    </row>
    <row r="12" spans="2:9" ht="51">
      <c r="B12" s="1354"/>
      <c r="C12" s="1355" t="s">
        <v>2819</v>
      </c>
      <c r="D12" s="1356"/>
      <c r="E12" s="1356"/>
      <c r="F12" s="62"/>
      <c r="G12" s="1353"/>
    </row>
    <row r="13" spans="2:9">
      <c r="B13" s="1354"/>
      <c r="C13" s="1355" t="s">
        <v>2820</v>
      </c>
      <c r="D13" s="1343" t="s">
        <v>82</v>
      </c>
      <c r="E13" s="1343">
        <v>1</v>
      </c>
      <c r="F13" s="62"/>
      <c r="G13" s="1353">
        <f>E13*F13</f>
        <v>0</v>
      </c>
    </row>
    <row r="14" spans="2:9">
      <c r="B14" s="1354"/>
      <c r="C14" s="1355"/>
      <c r="F14" s="62"/>
      <c r="G14" s="1353"/>
    </row>
    <row r="15" spans="2:9">
      <c r="B15" s="1350" t="s">
        <v>2821</v>
      </c>
      <c r="C15" s="1357" t="s">
        <v>2822</v>
      </c>
      <c r="F15" s="62"/>
      <c r="G15" s="1353"/>
    </row>
    <row r="16" spans="2:9" ht="63.75">
      <c r="B16" s="1358"/>
      <c r="C16" s="1357" t="s">
        <v>2823</v>
      </c>
      <c r="F16" s="62"/>
      <c r="G16" s="1353"/>
    </row>
    <row r="17" spans="2:7">
      <c r="B17" s="1358"/>
      <c r="C17" s="1357"/>
      <c r="F17" s="62"/>
      <c r="G17" s="1353"/>
    </row>
    <row r="18" spans="2:7">
      <c r="B18" s="1358"/>
      <c r="C18" s="1357" t="s">
        <v>2824</v>
      </c>
      <c r="F18" s="62"/>
      <c r="G18" s="1353"/>
    </row>
    <row r="19" spans="2:7">
      <c r="C19" s="1352" t="s">
        <v>2825</v>
      </c>
      <c r="D19" s="1356"/>
      <c r="F19" s="62"/>
      <c r="G19" s="1351"/>
    </row>
    <row r="20" spans="2:7">
      <c r="C20" s="1352" t="s">
        <v>2826</v>
      </c>
      <c r="D20" s="1356"/>
      <c r="F20" s="62"/>
      <c r="G20" s="1351"/>
    </row>
    <row r="21" spans="2:7" ht="14.25">
      <c r="C21" s="1352" t="s">
        <v>2827</v>
      </c>
      <c r="D21" s="1343" t="s">
        <v>2828</v>
      </c>
      <c r="E21" s="1343">
        <f>1.5*2.2</f>
        <v>3.3</v>
      </c>
      <c r="F21" s="62"/>
      <c r="G21" s="1353">
        <f t="shared" ref="G21:G22" si="0">E21*F21</f>
        <v>0</v>
      </c>
    </row>
    <row r="22" spans="2:7">
      <c r="C22" s="1352" t="s">
        <v>2829</v>
      </c>
      <c r="D22" s="1343" t="s">
        <v>2830</v>
      </c>
      <c r="E22" s="1343">
        <v>22</v>
      </c>
      <c r="F22" s="62"/>
      <c r="G22" s="1353">
        <f t="shared" si="0"/>
        <v>0</v>
      </c>
    </row>
    <row r="23" spans="2:7">
      <c r="C23" s="1352" t="s">
        <v>2831</v>
      </c>
      <c r="D23" s="1356"/>
      <c r="F23" s="62"/>
      <c r="G23" s="1351"/>
    </row>
    <row r="24" spans="2:7">
      <c r="C24" s="1352" t="s">
        <v>2829</v>
      </c>
      <c r="D24" s="1343" t="s">
        <v>2830</v>
      </c>
      <c r="E24" s="1343">
        <v>4</v>
      </c>
      <c r="F24" s="62"/>
      <c r="G24" s="1353">
        <f t="shared" ref="G24" si="1">E24*F24</f>
        <v>0</v>
      </c>
    </row>
    <row r="25" spans="2:7">
      <c r="F25" s="62"/>
      <c r="G25" s="1353"/>
    </row>
    <row r="26" spans="2:7" ht="25.5">
      <c r="B26" s="1350" t="s">
        <v>2832</v>
      </c>
      <c r="C26" s="1359" t="s">
        <v>2833</v>
      </c>
      <c r="F26" s="62"/>
      <c r="G26" s="1353"/>
    </row>
    <row r="27" spans="2:7" ht="38.25">
      <c r="B27" s="1358"/>
      <c r="C27" s="1359" t="s">
        <v>2834</v>
      </c>
      <c r="F27" s="62"/>
      <c r="G27" s="1353"/>
    </row>
    <row r="28" spans="2:7" ht="38.25">
      <c r="B28" s="1358"/>
      <c r="C28" s="1359" t="s">
        <v>2835</v>
      </c>
      <c r="F28" s="62"/>
      <c r="G28" s="1353"/>
    </row>
    <row r="29" spans="2:7" ht="25.5">
      <c r="B29" s="1358"/>
      <c r="C29" s="1359" t="s">
        <v>2836</v>
      </c>
      <c r="F29" s="62"/>
      <c r="G29" s="1353"/>
    </row>
    <row r="30" spans="2:7">
      <c r="C30" s="1352" t="s">
        <v>2837</v>
      </c>
      <c r="D30" s="1356"/>
      <c r="E30" s="1356"/>
      <c r="F30" s="1438"/>
      <c r="G30" s="1345"/>
    </row>
    <row r="31" spans="2:7">
      <c r="B31" s="1358"/>
      <c r="C31" s="1357" t="s">
        <v>2838</v>
      </c>
      <c r="D31" s="1343" t="s">
        <v>2830</v>
      </c>
      <c r="E31" s="1343">
        <v>1</v>
      </c>
      <c r="F31" s="62"/>
      <c r="G31" s="1353">
        <f t="shared" ref="G31:G32" si="2">E31*F31</f>
        <v>0</v>
      </c>
    </row>
    <row r="32" spans="2:7">
      <c r="B32" s="1358"/>
      <c r="C32" s="1357" t="s">
        <v>2839</v>
      </c>
      <c r="D32" s="1343" t="s">
        <v>2830</v>
      </c>
      <c r="E32" s="1343">
        <v>1</v>
      </c>
      <c r="F32" s="62"/>
      <c r="G32" s="1353">
        <f t="shared" si="2"/>
        <v>0</v>
      </c>
    </row>
    <row r="33" spans="2:7">
      <c r="C33" s="1352" t="s">
        <v>2840</v>
      </c>
      <c r="F33" s="62"/>
      <c r="G33" s="1353"/>
    </row>
    <row r="34" spans="2:7">
      <c r="B34" s="1358"/>
      <c r="C34" s="1357" t="s">
        <v>2841</v>
      </c>
      <c r="D34" s="1343" t="s">
        <v>2830</v>
      </c>
      <c r="E34" s="1343">
        <v>1</v>
      </c>
      <c r="F34" s="62"/>
      <c r="G34" s="1353">
        <f t="shared" ref="G34" si="3">E34*F34</f>
        <v>0</v>
      </c>
    </row>
    <row r="35" spans="2:7">
      <c r="F35" s="62"/>
      <c r="G35" s="1353"/>
    </row>
    <row r="36" spans="2:7">
      <c r="B36" s="1350" t="s">
        <v>2842</v>
      </c>
      <c r="C36" s="1357" t="s">
        <v>2843</v>
      </c>
      <c r="F36" s="62"/>
      <c r="G36" s="1353"/>
    </row>
    <row r="37" spans="2:7" ht="25.5">
      <c r="B37" s="1358"/>
      <c r="C37" s="1357" t="s">
        <v>2844</v>
      </c>
      <c r="F37" s="62"/>
      <c r="G37" s="1353"/>
    </row>
    <row r="38" spans="2:7">
      <c r="B38" s="1358"/>
      <c r="C38" s="1357" t="s">
        <v>2845</v>
      </c>
      <c r="F38" s="62"/>
      <c r="G38" s="1353"/>
    </row>
    <row r="39" spans="2:7">
      <c r="B39" s="1358"/>
      <c r="C39" s="1357" t="s">
        <v>2837</v>
      </c>
      <c r="F39" s="62"/>
      <c r="G39" s="1353"/>
    </row>
    <row r="40" spans="2:7">
      <c r="B40" s="1358"/>
      <c r="C40" s="1357" t="s">
        <v>2846</v>
      </c>
      <c r="D40" s="1343" t="s">
        <v>2830</v>
      </c>
      <c r="E40" s="1343">
        <v>1</v>
      </c>
      <c r="F40" s="62"/>
      <c r="G40" s="1353">
        <f t="shared" ref="G40:G41" si="4">E40*F40</f>
        <v>0</v>
      </c>
    </row>
    <row r="41" spans="2:7">
      <c r="B41" s="1358"/>
      <c r="C41" s="1357" t="s">
        <v>2847</v>
      </c>
      <c r="D41" s="1343" t="s">
        <v>2830</v>
      </c>
      <c r="E41" s="1343">
        <v>1</v>
      </c>
      <c r="F41" s="62"/>
      <c r="G41" s="1353">
        <f t="shared" si="4"/>
        <v>0</v>
      </c>
    </row>
    <row r="42" spans="2:7">
      <c r="B42" s="1358"/>
      <c r="C42" s="1345" t="s">
        <v>2840</v>
      </c>
      <c r="F42" s="62"/>
      <c r="G42" s="1353"/>
    </row>
    <row r="43" spans="2:7">
      <c r="B43" s="1358"/>
      <c r="C43" s="1345" t="s">
        <v>2848</v>
      </c>
      <c r="D43" s="1343" t="s">
        <v>2830</v>
      </c>
      <c r="E43" s="1343">
        <v>1</v>
      </c>
      <c r="F43" s="62"/>
      <c r="G43" s="1353">
        <f t="shared" ref="G43:G46" si="5">E43*F43</f>
        <v>0</v>
      </c>
    </row>
    <row r="44" spans="2:7">
      <c r="B44" s="1358"/>
      <c r="C44" s="1345" t="s">
        <v>2849</v>
      </c>
      <c r="D44" s="1343" t="s">
        <v>2830</v>
      </c>
      <c r="E44" s="1343">
        <v>1</v>
      </c>
      <c r="F44" s="62"/>
      <c r="G44" s="1353">
        <f t="shared" si="5"/>
        <v>0</v>
      </c>
    </row>
    <row r="45" spans="2:7">
      <c r="B45" s="1358"/>
      <c r="C45" s="1357" t="s">
        <v>2850</v>
      </c>
      <c r="D45" s="1343" t="s">
        <v>2830</v>
      </c>
      <c r="E45" s="1343">
        <v>1</v>
      </c>
      <c r="F45" s="62"/>
      <c r="G45" s="1353">
        <f t="shared" si="5"/>
        <v>0</v>
      </c>
    </row>
    <row r="46" spans="2:7">
      <c r="B46" s="1358"/>
      <c r="C46" s="1357" t="s">
        <v>2851</v>
      </c>
      <c r="D46" s="1343" t="s">
        <v>82</v>
      </c>
      <c r="E46" s="1343">
        <v>1</v>
      </c>
      <c r="F46" s="62"/>
      <c r="G46" s="1353">
        <f t="shared" si="5"/>
        <v>0</v>
      </c>
    </row>
    <row r="47" spans="2:7">
      <c r="B47" s="1358"/>
      <c r="C47" s="1357"/>
      <c r="F47" s="62"/>
      <c r="G47" s="1353"/>
    </row>
    <row r="48" spans="2:7">
      <c r="B48" s="1350" t="s">
        <v>2852</v>
      </c>
      <c r="C48" s="1357" t="s">
        <v>2853</v>
      </c>
      <c r="F48" s="62"/>
      <c r="G48" s="1353"/>
    </row>
    <row r="49" spans="2:7" ht="25.5">
      <c r="B49" s="1358"/>
      <c r="C49" s="1357" t="s">
        <v>2854</v>
      </c>
      <c r="F49" s="62"/>
      <c r="G49" s="1353"/>
    </row>
    <row r="50" spans="2:7">
      <c r="B50" s="1358"/>
      <c r="C50" s="1357" t="s">
        <v>2855</v>
      </c>
      <c r="F50" s="62"/>
      <c r="G50" s="1353"/>
    </row>
    <row r="51" spans="2:7">
      <c r="B51" s="1358"/>
      <c r="C51" s="1357" t="s">
        <v>254</v>
      </c>
      <c r="F51" s="62"/>
      <c r="G51" s="1353"/>
    </row>
    <row r="52" spans="2:7">
      <c r="B52" s="1358"/>
      <c r="C52" s="1357" t="s">
        <v>2837</v>
      </c>
      <c r="F52" s="62"/>
      <c r="G52" s="1353"/>
    </row>
    <row r="53" spans="2:7">
      <c r="B53" s="1358"/>
      <c r="C53" s="1357" t="s">
        <v>2856</v>
      </c>
      <c r="D53" s="1343" t="s">
        <v>2830</v>
      </c>
      <c r="E53" s="1343">
        <v>1</v>
      </c>
      <c r="F53" s="62"/>
      <c r="G53" s="1353">
        <f t="shared" ref="G53:G55" si="6">E53*F53</f>
        <v>0</v>
      </c>
    </row>
    <row r="54" spans="2:7">
      <c r="B54" s="1358"/>
      <c r="C54" s="1357" t="s">
        <v>2857</v>
      </c>
      <c r="D54" s="1343" t="s">
        <v>2830</v>
      </c>
      <c r="E54" s="1343">
        <v>1</v>
      </c>
      <c r="F54" s="62"/>
      <c r="G54" s="1353">
        <f t="shared" si="6"/>
        <v>0</v>
      </c>
    </row>
    <row r="55" spans="2:7">
      <c r="B55" s="1358"/>
      <c r="C55" s="1357" t="s">
        <v>2858</v>
      </c>
      <c r="D55" s="1343" t="s">
        <v>2830</v>
      </c>
      <c r="E55" s="1343">
        <v>1</v>
      </c>
      <c r="F55" s="62"/>
      <c r="G55" s="1353">
        <f t="shared" si="6"/>
        <v>0</v>
      </c>
    </row>
    <row r="56" spans="2:7">
      <c r="B56" s="1358"/>
      <c r="C56" s="1357" t="s">
        <v>2840</v>
      </c>
      <c r="F56" s="62"/>
      <c r="G56" s="1353"/>
    </row>
    <row r="57" spans="2:7">
      <c r="B57" s="1358"/>
      <c r="C57" s="1345" t="s">
        <v>2859</v>
      </c>
      <c r="D57" s="1343" t="s">
        <v>2830</v>
      </c>
      <c r="E57" s="1343">
        <v>1</v>
      </c>
      <c r="F57" s="62"/>
      <c r="G57" s="1353">
        <f t="shared" ref="G57:G62" si="7">E57*F57</f>
        <v>0</v>
      </c>
    </row>
    <row r="58" spans="2:7">
      <c r="B58" s="1358"/>
      <c r="C58" s="1345" t="s">
        <v>2860</v>
      </c>
      <c r="D58" s="1343" t="s">
        <v>2830</v>
      </c>
      <c r="E58" s="1343">
        <v>1</v>
      </c>
      <c r="F58" s="62"/>
      <c r="G58" s="1353">
        <f t="shared" si="7"/>
        <v>0</v>
      </c>
    </row>
    <row r="59" spans="2:7">
      <c r="B59" s="1358"/>
      <c r="C59" s="1345" t="s">
        <v>2861</v>
      </c>
      <c r="D59" s="1343" t="s">
        <v>2830</v>
      </c>
      <c r="E59" s="1343">
        <v>1</v>
      </c>
      <c r="F59" s="62"/>
      <c r="G59" s="1353">
        <f t="shared" si="7"/>
        <v>0</v>
      </c>
    </row>
    <row r="60" spans="2:7">
      <c r="B60" s="1358"/>
      <c r="C60" s="1345" t="s">
        <v>2862</v>
      </c>
      <c r="D60" s="1343" t="s">
        <v>2830</v>
      </c>
      <c r="E60" s="1343">
        <v>1</v>
      </c>
      <c r="F60" s="62"/>
      <c r="G60" s="1353">
        <f t="shared" si="7"/>
        <v>0</v>
      </c>
    </row>
    <row r="61" spans="2:7">
      <c r="B61" s="1358"/>
      <c r="C61" s="1345" t="s">
        <v>2863</v>
      </c>
      <c r="D61" s="1343" t="s">
        <v>2830</v>
      </c>
      <c r="E61" s="1343">
        <v>1</v>
      </c>
      <c r="F61" s="62"/>
      <c r="G61" s="1353">
        <f t="shared" si="7"/>
        <v>0</v>
      </c>
    </row>
    <row r="62" spans="2:7">
      <c r="B62" s="1358"/>
      <c r="C62" s="1357" t="s">
        <v>2864</v>
      </c>
      <c r="D62" s="1343" t="s">
        <v>2830</v>
      </c>
      <c r="E62" s="1343">
        <v>1</v>
      </c>
      <c r="F62" s="62"/>
      <c r="G62" s="1353">
        <f t="shared" si="7"/>
        <v>0</v>
      </c>
    </row>
    <row r="63" spans="2:7">
      <c r="B63" s="1358"/>
      <c r="C63" s="1357"/>
      <c r="F63" s="62"/>
      <c r="G63" s="1353"/>
    </row>
    <row r="64" spans="2:7">
      <c r="B64" s="1350" t="s">
        <v>2865</v>
      </c>
      <c r="C64" s="1357" t="s">
        <v>2866</v>
      </c>
      <c r="F64" s="62"/>
      <c r="G64" s="1353"/>
    </row>
    <row r="65" spans="2:7" ht="63.75">
      <c r="C65" s="1355" t="s">
        <v>2867</v>
      </c>
      <c r="F65" s="62"/>
      <c r="G65" s="1353"/>
    </row>
    <row r="66" spans="2:7">
      <c r="C66" s="1352" t="s">
        <v>2868</v>
      </c>
      <c r="D66" s="1356"/>
      <c r="F66" s="62"/>
      <c r="G66" s="1351"/>
    </row>
    <row r="67" spans="2:7">
      <c r="C67" s="1352" t="s">
        <v>2837</v>
      </c>
      <c r="D67" s="1356"/>
      <c r="F67" s="62"/>
      <c r="G67" s="1351"/>
    </row>
    <row r="68" spans="2:7">
      <c r="C68" s="1352" t="s">
        <v>2869</v>
      </c>
      <c r="D68" s="1343" t="s">
        <v>34</v>
      </c>
      <c r="E68" s="1343">
        <v>2</v>
      </c>
      <c r="F68" s="62"/>
      <c r="G68" s="1353">
        <f t="shared" ref="G68:G69" si="8">E68*F68</f>
        <v>0</v>
      </c>
    </row>
    <row r="69" spans="2:7" ht="14.25">
      <c r="C69" s="1352" t="s">
        <v>2870</v>
      </c>
      <c r="D69" s="1343" t="s">
        <v>2871</v>
      </c>
      <c r="E69" s="1343">
        <f>2*0.3*0.3*0.5</f>
        <v>0.09</v>
      </c>
      <c r="F69" s="62"/>
      <c r="G69" s="1353">
        <f t="shared" si="8"/>
        <v>0</v>
      </c>
    </row>
    <row r="70" spans="2:7">
      <c r="C70" s="1352" t="s">
        <v>2840</v>
      </c>
      <c r="D70" s="1356"/>
      <c r="F70" s="62"/>
      <c r="G70" s="1351"/>
    </row>
    <row r="71" spans="2:7">
      <c r="C71" s="1352" t="s">
        <v>2869</v>
      </c>
      <c r="D71" s="1343" t="s">
        <v>34</v>
      </c>
      <c r="E71" s="1343">
        <v>6</v>
      </c>
      <c r="F71" s="62"/>
      <c r="G71" s="1353">
        <f t="shared" ref="G71:G73" si="9">E71*F71</f>
        <v>0</v>
      </c>
    </row>
    <row r="72" spans="2:7">
      <c r="C72" s="1352" t="s">
        <v>2872</v>
      </c>
      <c r="D72" s="1343" t="s">
        <v>34</v>
      </c>
      <c r="E72" s="1343">
        <v>8</v>
      </c>
      <c r="F72" s="62"/>
      <c r="G72" s="1353">
        <f t="shared" si="9"/>
        <v>0</v>
      </c>
    </row>
    <row r="73" spans="2:7" ht="14.25">
      <c r="C73" s="1352" t="s">
        <v>2870</v>
      </c>
      <c r="D73" s="1343" t="s">
        <v>2871</v>
      </c>
      <c r="E73" s="1343">
        <f>14*0.3*0.3*0.5</f>
        <v>0.63</v>
      </c>
      <c r="F73" s="62"/>
      <c r="G73" s="1353">
        <f t="shared" si="9"/>
        <v>0</v>
      </c>
    </row>
    <row r="74" spans="2:7">
      <c r="F74" s="62"/>
      <c r="G74" s="1351"/>
    </row>
    <row r="75" spans="2:7">
      <c r="B75" s="1350" t="s">
        <v>2873</v>
      </c>
      <c r="C75" s="1357" t="s">
        <v>2874</v>
      </c>
      <c r="F75" s="62"/>
      <c r="G75" s="1353"/>
    </row>
    <row r="76" spans="2:7" ht="38.25">
      <c r="C76" s="1355" t="s">
        <v>2875</v>
      </c>
      <c r="F76" s="62"/>
      <c r="G76" s="1353"/>
    </row>
    <row r="77" spans="2:7" ht="25.5">
      <c r="C77" s="1355" t="s">
        <v>2876</v>
      </c>
      <c r="F77" s="62"/>
      <c r="G77" s="1353"/>
    </row>
    <row r="78" spans="2:7" ht="25.5">
      <c r="C78" s="1352" t="s">
        <v>2877</v>
      </c>
      <c r="D78" s="1356"/>
      <c r="F78" s="62"/>
      <c r="G78" s="1351"/>
    </row>
    <row r="79" spans="2:7">
      <c r="C79" s="1352" t="s">
        <v>2878</v>
      </c>
      <c r="D79" s="1343" t="s">
        <v>1184</v>
      </c>
      <c r="E79" s="1343">
        <f>16.1+24.6+18.3+18.85+28.6+30</f>
        <v>136.44999999999999</v>
      </c>
      <c r="F79" s="62"/>
      <c r="G79" s="1353">
        <f t="shared" ref="G79:G80" si="10">E79*F79</f>
        <v>0</v>
      </c>
    </row>
    <row r="80" spans="2:7" ht="14.25">
      <c r="C80" s="1352" t="s">
        <v>2879</v>
      </c>
      <c r="D80" s="1343" t="s">
        <v>2871</v>
      </c>
      <c r="E80" s="1343">
        <f>E79*0.25*0.3</f>
        <v>10.23</v>
      </c>
      <c r="F80" s="62"/>
      <c r="G80" s="1353">
        <f t="shared" si="10"/>
        <v>0</v>
      </c>
    </row>
    <row r="81" spans="2:7">
      <c r="F81" s="62"/>
      <c r="G81" s="1351"/>
    </row>
    <row r="82" spans="2:7">
      <c r="B82" s="1350" t="s">
        <v>2880</v>
      </c>
      <c r="C82" s="1357" t="s">
        <v>2881</v>
      </c>
      <c r="F82" s="62"/>
      <c r="G82" s="1353"/>
    </row>
    <row r="83" spans="2:7" ht="38.25">
      <c r="C83" s="1355" t="s">
        <v>2882</v>
      </c>
      <c r="F83" s="62"/>
      <c r="G83" s="1353"/>
    </row>
    <row r="84" spans="2:7" ht="25.5">
      <c r="C84" s="1355" t="s">
        <v>2876</v>
      </c>
      <c r="F84" s="62"/>
      <c r="G84" s="1353"/>
    </row>
    <row r="85" spans="2:7">
      <c r="C85" s="1352" t="s">
        <v>2883</v>
      </c>
      <c r="D85" s="1356"/>
      <c r="F85" s="62"/>
      <c r="G85" s="1351"/>
    </row>
    <row r="86" spans="2:7" ht="14.25">
      <c r="C86" s="1352" t="s">
        <v>2878</v>
      </c>
      <c r="D86" s="1343" t="s">
        <v>2828</v>
      </c>
      <c r="E86" s="1343">
        <v>173.45</v>
      </c>
      <c r="F86" s="62"/>
      <c r="G86" s="1353">
        <f t="shared" ref="G86:G87" si="11">E86*F86</f>
        <v>0</v>
      </c>
    </row>
    <row r="87" spans="2:7" ht="14.25">
      <c r="C87" s="1352" t="s">
        <v>2879</v>
      </c>
      <c r="D87" s="1343" t="s">
        <v>2871</v>
      </c>
      <c r="E87" s="1343">
        <f>E86*0.3</f>
        <v>52.04</v>
      </c>
      <c r="F87" s="62"/>
      <c r="G87" s="1353">
        <f t="shared" si="11"/>
        <v>0</v>
      </c>
    </row>
    <row r="88" spans="2:7">
      <c r="F88" s="62"/>
      <c r="G88" s="1351"/>
    </row>
    <row r="89" spans="2:7" ht="25.5">
      <c r="B89" s="1350" t="s">
        <v>2884</v>
      </c>
      <c r="C89" s="1352" t="s">
        <v>2885</v>
      </c>
      <c r="F89" s="62"/>
      <c r="G89" s="1353"/>
    </row>
    <row r="90" spans="2:7" ht="25.5">
      <c r="C90" s="1352" t="s">
        <v>2886</v>
      </c>
      <c r="F90" s="62"/>
      <c r="G90" s="1353"/>
    </row>
    <row r="91" spans="2:7" ht="25.5">
      <c r="C91" s="1383" t="s">
        <v>2887</v>
      </c>
      <c r="F91" s="62"/>
      <c r="G91" s="1353"/>
    </row>
    <row r="92" spans="2:7" ht="25.5">
      <c r="C92" s="1352" t="s">
        <v>2876</v>
      </c>
      <c r="F92" s="62"/>
      <c r="G92" s="1353"/>
    </row>
    <row r="93" spans="2:7" ht="12.75" customHeight="1">
      <c r="C93" s="1360" t="s">
        <v>2888</v>
      </c>
      <c r="D93" s="1611" t="s">
        <v>5614</v>
      </c>
      <c r="E93" s="1611">
        <v>115.8</v>
      </c>
      <c r="F93" s="1438"/>
      <c r="G93" s="1345"/>
    </row>
    <row r="94" spans="2:7" ht="14.25">
      <c r="C94" s="1352" t="s">
        <v>2889</v>
      </c>
      <c r="D94" s="1343" t="s">
        <v>2871</v>
      </c>
      <c r="E94" s="1343">
        <f>E93*0.3*1.2</f>
        <v>41.69</v>
      </c>
      <c r="F94" s="62"/>
      <c r="G94" s="1353">
        <f t="shared" ref="G94" si="12">E94*F94</f>
        <v>0</v>
      </c>
    </row>
    <row r="95" spans="2:7">
      <c r="F95" s="62"/>
      <c r="G95" s="1353"/>
    </row>
    <row r="96" spans="2:7" ht="12.75" customHeight="1">
      <c r="B96" s="1350" t="s">
        <v>2890</v>
      </c>
      <c r="C96" s="1352" t="s">
        <v>2891</v>
      </c>
      <c r="F96" s="62"/>
      <c r="G96" s="1353"/>
    </row>
    <row r="97" spans="2:7">
      <c r="C97" s="1352" t="s">
        <v>2892</v>
      </c>
      <c r="F97" s="62"/>
      <c r="G97" s="1353"/>
    </row>
    <row r="98" spans="2:7" ht="25.5">
      <c r="C98" s="1352" t="s">
        <v>2876</v>
      </c>
      <c r="F98" s="62"/>
      <c r="G98" s="1353"/>
    </row>
    <row r="99" spans="2:7" ht="14.25">
      <c r="C99" s="1360" t="s">
        <v>2888</v>
      </c>
      <c r="D99" s="1611" t="s">
        <v>5614</v>
      </c>
      <c r="E99" s="1611">
        <v>24.85</v>
      </c>
      <c r="F99" s="1438"/>
      <c r="G99" s="1345"/>
    </row>
    <row r="100" spans="2:7" ht="14.25">
      <c r="C100" s="1352" t="s">
        <v>2889</v>
      </c>
      <c r="D100" s="1343" t="s">
        <v>2871</v>
      </c>
      <c r="E100" s="1343">
        <f>E99*0.3</f>
        <v>7.46</v>
      </c>
      <c r="F100" s="62"/>
      <c r="G100" s="1353">
        <f>E100*F100</f>
        <v>0</v>
      </c>
    </row>
    <row r="101" spans="2:7">
      <c r="F101" s="62"/>
      <c r="G101" s="1353"/>
    </row>
    <row r="102" spans="2:7">
      <c r="B102" s="1350" t="s">
        <v>2893</v>
      </c>
      <c r="C102" s="1357" t="s">
        <v>2894</v>
      </c>
      <c r="F102" s="62"/>
      <c r="G102" s="1353"/>
    </row>
    <row r="103" spans="2:7" ht="25.5">
      <c r="C103" s="1355" t="s">
        <v>2895</v>
      </c>
      <c r="F103" s="62"/>
      <c r="G103" s="1353"/>
    </row>
    <row r="104" spans="2:7">
      <c r="C104" s="1355" t="s">
        <v>2896</v>
      </c>
      <c r="F104" s="62"/>
      <c r="G104" s="1353"/>
    </row>
    <row r="105" spans="2:7" ht="25.5">
      <c r="C105" s="1355" t="s">
        <v>2897</v>
      </c>
      <c r="F105" s="62"/>
      <c r="G105" s="1353"/>
    </row>
    <row r="106" spans="2:7" ht="25.5">
      <c r="C106" s="1383" t="s">
        <v>2898</v>
      </c>
      <c r="F106" s="62"/>
      <c r="G106" s="1353"/>
    </row>
    <row r="107" spans="2:7">
      <c r="C107" s="1360" t="s">
        <v>2899</v>
      </c>
      <c r="D107" s="1611" t="s">
        <v>1184</v>
      </c>
      <c r="E107" s="1611">
        <f>20+18.5</f>
        <v>38.5</v>
      </c>
      <c r="F107" s="62"/>
      <c r="G107" s="1351"/>
    </row>
    <row r="108" spans="2:7">
      <c r="C108" s="1352" t="s">
        <v>2878</v>
      </c>
      <c r="D108" s="1343" t="s">
        <v>1184</v>
      </c>
      <c r="E108" s="1343">
        <f>(20+18.5)*1.2</f>
        <v>46.2</v>
      </c>
      <c r="F108" s="62"/>
      <c r="G108" s="1353">
        <f t="shared" ref="G108:G109" si="13">E108*F108</f>
        <v>0</v>
      </c>
    </row>
    <row r="109" spans="2:7" ht="14.25">
      <c r="C109" s="1352" t="s">
        <v>2879</v>
      </c>
      <c r="D109" s="1343" t="s">
        <v>2871</v>
      </c>
      <c r="E109" s="1343">
        <f>E108*0.25*0.3</f>
        <v>3.47</v>
      </c>
      <c r="F109" s="62"/>
      <c r="G109" s="1353">
        <f t="shared" si="13"/>
        <v>0</v>
      </c>
    </row>
    <row r="110" spans="2:7">
      <c r="B110" s="1358"/>
      <c r="C110" s="1357"/>
      <c r="F110" s="62"/>
      <c r="G110" s="1353"/>
    </row>
    <row r="111" spans="2:7">
      <c r="B111" s="1350" t="s">
        <v>2900</v>
      </c>
      <c r="C111" s="1357" t="s">
        <v>2901</v>
      </c>
      <c r="F111" s="62"/>
      <c r="G111" s="1353"/>
    </row>
    <row r="112" spans="2:7" ht="38.25">
      <c r="C112" s="1355" t="s">
        <v>2902</v>
      </c>
      <c r="F112" s="62"/>
      <c r="G112" s="1353"/>
    </row>
    <row r="113" spans="2:9" ht="25.5">
      <c r="C113" s="1355" t="s">
        <v>2897</v>
      </c>
      <c r="F113" s="62"/>
      <c r="G113" s="1353"/>
    </row>
    <row r="114" spans="2:9">
      <c r="C114" s="1352" t="s">
        <v>2903</v>
      </c>
      <c r="F114" s="62"/>
      <c r="G114" s="1353"/>
    </row>
    <row r="115" spans="2:9">
      <c r="F115" s="62"/>
      <c r="G115" s="1353"/>
    </row>
    <row r="116" spans="2:9">
      <c r="B116" s="1350" t="s">
        <v>2904</v>
      </c>
      <c r="C116" s="1612" t="s">
        <v>2905</v>
      </c>
      <c r="D116" s="1611" t="s">
        <v>1184</v>
      </c>
      <c r="E116" s="1611">
        <v>12.7</v>
      </c>
      <c r="F116" s="62"/>
      <c r="G116" s="1351"/>
    </row>
    <row r="117" spans="2:9" ht="14.25">
      <c r="C117" s="1352" t="s">
        <v>2889</v>
      </c>
      <c r="D117" s="1343" t="s">
        <v>2871</v>
      </c>
      <c r="E117" s="1343">
        <f>E116*0.35*1.15</f>
        <v>5.1100000000000003</v>
      </c>
      <c r="F117" s="62"/>
      <c r="G117" s="1353">
        <f t="shared" ref="G117" si="14">E117*F117</f>
        <v>0</v>
      </c>
    </row>
    <row r="118" spans="2:9">
      <c r="F118" s="62"/>
      <c r="G118" s="1353"/>
    </row>
    <row r="119" spans="2:9">
      <c r="B119" s="1350" t="s">
        <v>2906</v>
      </c>
      <c r="C119" s="1613" t="s">
        <v>2907</v>
      </c>
      <c r="D119" s="1611" t="s">
        <v>1184</v>
      </c>
      <c r="E119" s="1611">
        <v>2.5499999999999998</v>
      </c>
      <c r="F119" s="62"/>
      <c r="G119" s="1351"/>
    </row>
    <row r="120" spans="2:9" ht="14.25">
      <c r="C120" s="1352" t="s">
        <v>2889</v>
      </c>
      <c r="D120" s="1343" t="s">
        <v>2871</v>
      </c>
      <c r="E120" s="1343">
        <f>E119*0.35*1.1</f>
        <v>0.98</v>
      </c>
      <c r="F120" s="62"/>
      <c r="G120" s="1353">
        <f t="shared" ref="G120" si="15">E120*F120</f>
        <v>0</v>
      </c>
    </row>
    <row r="121" spans="2:9">
      <c r="F121" s="62"/>
      <c r="G121" s="1353"/>
    </row>
    <row r="122" spans="2:9">
      <c r="B122" s="1358"/>
      <c r="C122" s="1357"/>
      <c r="F122" s="62"/>
      <c r="G122" s="1353"/>
    </row>
    <row r="123" spans="2:9" ht="38.25">
      <c r="B123" s="1358"/>
      <c r="C123" s="1361" t="s">
        <v>2908</v>
      </c>
      <c r="F123" s="62"/>
      <c r="G123" s="1353"/>
    </row>
    <row r="124" spans="2:9">
      <c r="F124" s="62"/>
      <c r="G124" s="1351"/>
    </row>
    <row r="125" spans="2:9">
      <c r="B125" s="1346" t="s">
        <v>977</v>
      </c>
      <c r="C125" s="1362" t="str">
        <f>"UKUPNO - "&amp;C4&amp;" (€):"</f>
        <v>UKUPNO - PRIPREMNI RADOVI I RUŠENJA (€):</v>
      </c>
      <c r="D125" s="1363"/>
      <c r="E125" s="1363"/>
      <c r="F125" s="1439"/>
      <c r="G125" s="1349">
        <f>SUM(G5:G123)</f>
        <v>0</v>
      </c>
    </row>
    <row r="126" spans="2:9">
      <c r="C126" s="1342"/>
      <c r="F126" s="62"/>
      <c r="G126" s="1351"/>
    </row>
    <row r="127" spans="2:9">
      <c r="C127" s="1342"/>
      <c r="F127" s="62"/>
      <c r="G127" s="1351"/>
    </row>
    <row r="128" spans="2:9" s="1364" customFormat="1">
      <c r="B128" s="1346" t="s">
        <v>978</v>
      </c>
      <c r="C128" s="1347" t="s">
        <v>88</v>
      </c>
      <c r="D128" s="1348"/>
      <c r="E128" s="1348"/>
      <c r="F128" s="1440"/>
      <c r="G128" s="1349"/>
      <c r="I128" s="1365"/>
    </row>
    <row r="129" spans="2:9" s="1364" customFormat="1" ht="38.25">
      <c r="B129" s="1350"/>
      <c r="C129" s="1366" t="s">
        <v>2909</v>
      </c>
      <c r="D129" s="1343"/>
      <c r="E129" s="1343"/>
      <c r="F129" s="62"/>
      <c r="G129" s="1351"/>
      <c r="I129" s="1365"/>
    </row>
    <row r="130" spans="2:9" s="1364" customFormat="1" ht="38.25">
      <c r="B130" s="1350"/>
      <c r="C130" s="1367" t="s">
        <v>2910</v>
      </c>
      <c r="D130" s="1343"/>
      <c r="E130" s="1343"/>
      <c r="F130" s="62"/>
      <c r="G130" s="1351"/>
      <c r="I130" s="1365"/>
    </row>
    <row r="131" spans="2:9" s="1364" customFormat="1">
      <c r="B131" s="1350"/>
      <c r="C131" s="1342"/>
      <c r="D131" s="1343"/>
      <c r="E131" s="1343"/>
      <c r="F131" s="62"/>
      <c r="G131" s="1351"/>
      <c r="I131" s="1365"/>
    </row>
    <row r="132" spans="2:9" s="1364" customFormat="1">
      <c r="B132" s="1350" t="s">
        <v>604</v>
      </c>
      <c r="C132" s="1352" t="s">
        <v>2911</v>
      </c>
      <c r="D132" s="1343"/>
      <c r="E132" s="1343"/>
      <c r="F132" s="62"/>
      <c r="G132" s="1351"/>
      <c r="I132" s="1365"/>
    </row>
    <row r="133" spans="2:9" s="1364" customFormat="1" ht="89.25">
      <c r="B133" s="1354"/>
      <c r="C133" s="1355" t="s">
        <v>2912</v>
      </c>
      <c r="D133" s="1356"/>
      <c r="E133" s="1343"/>
      <c r="F133" s="62"/>
      <c r="G133" s="1353"/>
      <c r="I133" s="1368"/>
    </row>
    <row r="134" spans="2:9" s="1364" customFormat="1" ht="25.5">
      <c r="B134" s="1354"/>
      <c r="C134" s="1355" t="s">
        <v>2913</v>
      </c>
      <c r="D134" s="1356"/>
      <c r="E134" s="1343"/>
      <c r="F134" s="62"/>
      <c r="G134" s="1353"/>
      <c r="I134" s="1368"/>
    </row>
    <row r="135" spans="2:9" s="1364" customFormat="1" ht="25.5">
      <c r="B135" s="1354"/>
      <c r="C135" s="1355" t="s">
        <v>2897</v>
      </c>
      <c r="D135" s="1356"/>
      <c r="E135" s="1343"/>
      <c r="F135" s="62"/>
      <c r="G135" s="1353"/>
      <c r="I135" s="1368"/>
    </row>
    <row r="136" spans="2:9" s="1364" customFormat="1">
      <c r="B136" s="1350"/>
      <c r="C136" s="1352" t="s">
        <v>2914</v>
      </c>
      <c r="D136" s="1343"/>
      <c r="E136" s="1343"/>
      <c r="F136" s="62"/>
      <c r="G136" s="1351"/>
      <c r="I136" s="1365"/>
    </row>
    <row r="137" spans="2:9" s="1364" customFormat="1" ht="14.25">
      <c r="B137" s="1350"/>
      <c r="C137" s="1397" t="s">
        <v>2915</v>
      </c>
      <c r="D137" s="1614" t="s">
        <v>5614</v>
      </c>
      <c r="E137" s="1614">
        <v>85.5</v>
      </c>
      <c r="F137" s="62"/>
      <c r="G137" s="1353"/>
      <c r="I137" s="1365"/>
    </row>
    <row r="138" spans="2:9" s="1364" customFormat="1" ht="14.25">
      <c r="B138" s="1350"/>
      <c r="C138" s="1397" t="s">
        <v>2916</v>
      </c>
      <c r="D138" s="1614" t="s">
        <v>5614</v>
      </c>
      <c r="E138" s="1614">
        <f>2*6.41</f>
        <v>12.82</v>
      </c>
      <c r="F138" s="62"/>
      <c r="G138" s="1353"/>
      <c r="I138" s="1365"/>
    </row>
    <row r="139" spans="2:9" s="1364" customFormat="1" ht="14.25">
      <c r="B139" s="1350"/>
      <c r="C139" s="1397" t="s">
        <v>2917</v>
      </c>
      <c r="D139" s="1614" t="s">
        <v>5614</v>
      </c>
      <c r="E139" s="1614">
        <f>9.85+12.98+11.86</f>
        <v>34.69</v>
      </c>
      <c r="F139" s="62"/>
      <c r="G139" s="1353"/>
      <c r="I139" s="1365"/>
    </row>
    <row r="140" spans="2:9" s="1364" customFormat="1" ht="14.25">
      <c r="B140" s="1350"/>
      <c r="C140" s="1397" t="s">
        <v>2918</v>
      </c>
      <c r="D140" s="1614" t="s">
        <v>5614</v>
      </c>
      <c r="E140" s="1615">
        <f>(3.65+1.8+1+3.5+4.65+0.95+0.95425+4.35+1+1+4.35)*0.3</f>
        <v>8.16</v>
      </c>
      <c r="F140" s="1438"/>
      <c r="I140" s="1365"/>
    </row>
    <row r="141" spans="2:9" s="1364" customFormat="1" ht="14.25">
      <c r="B141" s="1350"/>
      <c r="C141" s="1397" t="s">
        <v>2919</v>
      </c>
      <c r="D141" s="1614" t="s">
        <v>5614</v>
      </c>
      <c r="E141" s="1615">
        <f>10.9+4.9+4.55+4.55</f>
        <v>24.9</v>
      </c>
      <c r="F141" s="1438"/>
      <c r="I141" s="1365"/>
    </row>
    <row r="142" spans="2:9" s="1364" customFormat="1" ht="14.25">
      <c r="B142" s="1350"/>
      <c r="C142" s="1397" t="s">
        <v>2920</v>
      </c>
      <c r="D142" s="1614" t="s">
        <v>5614</v>
      </c>
      <c r="E142" s="1615">
        <f>4.1+3.51</f>
        <v>7.61</v>
      </c>
      <c r="F142" s="1438"/>
      <c r="I142" s="1365"/>
    </row>
    <row r="143" spans="2:9" s="1364" customFormat="1" ht="14.25">
      <c r="B143" s="1350"/>
      <c r="C143" s="1397" t="s">
        <v>2921</v>
      </c>
      <c r="D143" s="1614" t="s">
        <v>5614</v>
      </c>
      <c r="E143" s="1615">
        <v>6</v>
      </c>
      <c r="F143" s="1438"/>
      <c r="I143" s="1365"/>
    </row>
    <row r="144" spans="2:9" s="1364" customFormat="1" ht="14.25">
      <c r="B144" s="1350"/>
      <c r="C144" s="1397" t="s">
        <v>2922</v>
      </c>
      <c r="D144" s="1614" t="s">
        <v>5614</v>
      </c>
      <c r="E144" s="1615">
        <f>(15*1.5)+2.6+2.2+2+2.3+2.6+1.8</f>
        <v>36</v>
      </c>
      <c r="F144" s="1438"/>
      <c r="I144" s="1365"/>
    </row>
    <row r="145" spans="2:9" s="1364" customFormat="1" ht="14.25">
      <c r="B145" s="1350"/>
      <c r="C145" s="1397" t="s">
        <v>2923</v>
      </c>
      <c r="D145" s="1614" t="s">
        <v>5614</v>
      </c>
      <c r="E145" s="1615">
        <f>0.6*3.3</f>
        <v>1.98</v>
      </c>
      <c r="F145" s="1438"/>
      <c r="I145" s="1365"/>
    </row>
    <row r="146" spans="2:9" s="1364" customFormat="1" ht="14.25">
      <c r="B146" s="1350"/>
      <c r="C146" s="1613" t="s">
        <v>2924</v>
      </c>
      <c r="D146" s="1616" t="s">
        <v>5614</v>
      </c>
      <c r="E146" s="1617">
        <v>24.85</v>
      </c>
      <c r="F146" s="1438"/>
      <c r="I146" s="1365"/>
    </row>
    <row r="147" spans="2:9" s="1364" customFormat="1" ht="14.25">
      <c r="B147" s="1350"/>
      <c r="C147" s="1352" t="s">
        <v>2925</v>
      </c>
      <c r="D147" s="1343" t="s">
        <v>2871</v>
      </c>
      <c r="E147" s="1343">
        <f>(E137*0.15)+(E138*0.35)+(E139*0.45)+(E140*0.3)+(E141*0.45)+(E143*0.3*1.2)+(E142*0.15)+(E144*0.15)+(E145*0.3)+ (E146*0.3)</f>
        <v>63.33</v>
      </c>
      <c r="F147" s="62"/>
      <c r="G147" s="1353">
        <f t="shared" ref="G147" si="16">E147*F147</f>
        <v>0</v>
      </c>
      <c r="I147" s="1365"/>
    </row>
    <row r="148" spans="2:9" s="1364" customFormat="1">
      <c r="B148" s="1354"/>
      <c r="C148" s="1355"/>
      <c r="D148" s="1343"/>
      <c r="E148" s="1343"/>
      <c r="F148" s="62"/>
      <c r="G148" s="1353"/>
      <c r="I148" s="1368"/>
    </row>
    <row r="149" spans="2:9" s="1364" customFormat="1">
      <c r="B149" s="1350" t="s">
        <v>607</v>
      </c>
      <c r="C149" s="1352" t="s">
        <v>2926</v>
      </c>
      <c r="D149" s="1343"/>
      <c r="E149" s="1343"/>
      <c r="F149" s="62"/>
      <c r="G149" s="1351"/>
      <c r="I149" s="1365"/>
    </row>
    <row r="150" spans="2:9" s="1364" customFormat="1" ht="25.5">
      <c r="B150" s="1354"/>
      <c r="C150" s="1355" t="s">
        <v>2927</v>
      </c>
      <c r="D150" s="1356"/>
      <c r="E150" s="1343"/>
      <c r="F150" s="62"/>
      <c r="G150" s="1353"/>
      <c r="I150" s="1368"/>
    </row>
    <row r="151" spans="2:9" s="1364" customFormat="1" ht="25.5">
      <c r="B151" s="1354"/>
      <c r="C151" s="1355" t="s">
        <v>2897</v>
      </c>
      <c r="D151" s="1356"/>
      <c r="E151" s="1343"/>
      <c r="F151" s="62"/>
      <c r="G151" s="1353"/>
      <c r="I151" s="1368"/>
    </row>
    <row r="152" spans="2:9" s="1364" customFormat="1">
      <c r="B152" s="1350"/>
      <c r="C152" s="1352" t="s">
        <v>2914</v>
      </c>
      <c r="D152" s="1343"/>
      <c r="E152" s="1343"/>
      <c r="F152" s="62"/>
      <c r="G152" s="1351"/>
      <c r="I152" s="1365"/>
    </row>
    <row r="153" spans="2:9" s="1364" customFormat="1">
      <c r="B153" s="1350"/>
      <c r="C153" s="1397" t="s">
        <v>2928</v>
      </c>
      <c r="D153" s="1614" t="s">
        <v>1184</v>
      </c>
      <c r="E153" s="1614">
        <v>6</v>
      </c>
      <c r="F153" s="62"/>
      <c r="G153" s="1353"/>
      <c r="I153" s="1365"/>
    </row>
    <row r="154" spans="2:9" s="1364" customFormat="1">
      <c r="B154" s="1350"/>
      <c r="C154" s="1397" t="s">
        <v>2929</v>
      </c>
      <c r="D154" s="1614" t="s">
        <v>1184</v>
      </c>
      <c r="E154" s="1614">
        <v>8.5</v>
      </c>
      <c r="F154" s="62"/>
      <c r="G154" s="1353"/>
      <c r="I154" s="1365"/>
    </row>
    <row r="155" spans="2:9" s="1364" customFormat="1">
      <c r="B155" s="1350"/>
      <c r="C155" s="1397" t="s">
        <v>2930</v>
      </c>
      <c r="D155" s="1614" t="s">
        <v>1184</v>
      </c>
      <c r="E155" s="1614">
        <v>11</v>
      </c>
      <c r="F155" s="62"/>
      <c r="G155" s="1353"/>
      <c r="I155" s="1365"/>
    </row>
    <row r="156" spans="2:9" s="1364" customFormat="1">
      <c r="B156" s="1350"/>
      <c r="C156" s="1613" t="s">
        <v>2931</v>
      </c>
      <c r="D156" s="1616" t="s">
        <v>1184</v>
      </c>
      <c r="E156" s="1616">
        <v>12.75</v>
      </c>
      <c r="F156" s="62"/>
      <c r="G156" s="1353"/>
      <c r="I156" s="1365"/>
    </row>
    <row r="157" spans="2:9" s="1364" customFormat="1" ht="14.25">
      <c r="B157" s="1350"/>
      <c r="C157" s="1352" t="s">
        <v>2925</v>
      </c>
      <c r="D157" s="1343" t="s">
        <v>2871</v>
      </c>
      <c r="E157" s="1343">
        <f>(E153+E154+E155+E156)*0.6*1.25</f>
        <v>28.69</v>
      </c>
      <c r="F157" s="62"/>
      <c r="G157" s="1353">
        <f t="shared" ref="G157" si="17">E157*F157</f>
        <v>0</v>
      </c>
      <c r="I157" s="1365"/>
    </row>
    <row r="158" spans="2:9" s="1364" customFormat="1">
      <c r="B158" s="1350"/>
      <c r="D158" s="1343"/>
      <c r="E158" s="1343"/>
      <c r="F158" s="62"/>
      <c r="G158" s="1353"/>
      <c r="I158" s="1365"/>
    </row>
    <row r="159" spans="2:9" s="1364" customFormat="1">
      <c r="B159" s="1354"/>
      <c r="C159" s="1355"/>
      <c r="D159" s="1343"/>
      <c r="E159" s="1343"/>
      <c r="F159" s="62"/>
      <c r="G159" s="1353"/>
      <c r="I159" s="1368"/>
    </row>
    <row r="160" spans="2:9" s="1364" customFormat="1">
      <c r="B160" s="1354" t="s">
        <v>989</v>
      </c>
      <c r="C160" s="1355" t="s">
        <v>2932</v>
      </c>
      <c r="D160" s="1343"/>
      <c r="E160" s="1343"/>
      <c r="F160" s="62"/>
      <c r="G160" s="1353"/>
      <c r="I160" s="1368"/>
    </row>
    <row r="161" spans="2:11" s="1364" customFormat="1" ht="38.25">
      <c r="B161" s="1350"/>
      <c r="C161" s="1355" t="s">
        <v>2933</v>
      </c>
      <c r="D161" s="1356"/>
      <c r="E161" s="1356"/>
      <c r="F161" s="1438"/>
      <c r="I161" s="1368"/>
    </row>
    <row r="162" spans="2:11" s="1364" customFormat="1" ht="25.5">
      <c r="B162" s="1350"/>
      <c r="C162" s="1355" t="s">
        <v>2897</v>
      </c>
      <c r="D162" s="1356"/>
      <c r="E162" s="1356"/>
      <c r="F162" s="1438"/>
      <c r="I162" s="1368"/>
    </row>
    <row r="163" spans="2:11" s="1364" customFormat="1">
      <c r="B163" s="1350"/>
      <c r="C163" s="1355" t="s">
        <v>2934</v>
      </c>
      <c r="D163" s="1618"/>
      <c r="E163" s="1618"/>
      <c r="F163" s="1619"/>
      <c r="G163" s="1353"/>
      <c r="I163" s="1368"/>
    </row>
    <row r="164" spans="2:11" s="1364" customFormat="1" ht="14.25">
      <c r="B164" s="1350"/>
      <c r="C164" s="1355" t="s">
        <v>2935</v>
      </c>
      <c r="D164" s="1343" t="s">
        <v>2871</v>
      </c>
      <c r="E164" s="1343">
        <f>0.3*0.3*0.3*24</f>
        <v>0.65</v>
      </c>
      <c r="F164" s="62"/>
      <c r="G164" s="1353">
        <f t="shared" ref="G164:G165" si="18">E164*F164</f>
        <v>0</v>
      </c>
      <c r="I164" s="1368"/>
    </row>
    <row r="165" spans="2:11" s="1364" customFormat="1" ht="14.25">
      <c r="B165" s="1350"/>
      <c r="C165" s="1355" t="s">
        <v>2936</v>
      </c>
      <c r="D165" s="1343" t="s">
        <v>2871</v>
      </c>
      <c r="E165" s="1343">
        <f>0.3*0.3*0.3*4</f>
        <v>0.11</v>
      </c>
      <c r="F165" s="62"/>
      <c r="G165" s="1353">
        <f t="shared" si="18"/>
        <v>0</v>
      </c>
      <c r="I165" s="1368"/>
    </row>
    <row r="166" spans="2:11" s="1364" customFormat="1">
      <c r="B166" s="1350"/>
      <c r="C166" s="1355"/>
      <c r="D166" s="1343"/>
      <c r="E166" s="1343"/>
      <c r="F166" s="62"/>
      <c r="G166" s="1353"/>
      <c r="I166" s="1368"/>
    </row>
    <row r="167" spans="2:11" s="1364" customFormat="1">
      <c r="B167" s="1350"/>
      <c r="C167" s="1355"/>
      <c r="D167" s="1343"/>
      <c r="E167" s="1343"/>
      <c r="F167" s="62"/>
      <c r="G167" s="1353"/>
      <c r="I167" s="1365"/>
      <c r="J167" s="1620"/>
      <c r="K167" s="1435"/>
    </row>
    <row r="168" spans="2:11" s="1364" customFormat="1">
      <c r="B168" s="1350" t="s">
        <v>990</v>
      </c>
      <c r="C168" s="1355" t="s">
        <v>2937</v>
      </c>
      <c r="D168" s="1343"/>
      <c r="E168" s="1343"/>
      <c r="F168" s="62"/>
      <c r="G168" s="1353"/>
      <c r="I168" s="1365"/>
    </row>
    <row r="169" spans="2:11" s="1364" customFormat="1" ht="63.75">
      <c r="B169" s="1350"/>
      <c r="C169" s="1355" t="s">
        <v>2938</v>
      </c>
      <c r="D169" s="1356"/>
      <c r="E169" s="1356"/>
      <c r="F169" s="1438"/>
      <c r="I169" s="1365"/>
    </row>
    <row r="170" spans="2:11" s="1364" customFormat="1" ht="25.5">
      <c r="B170" s="1350"/>
      <c r="C170" s="1355" t="s">
        <v>2939</v>
      </c>
      <c r="D170" s="1356"/>
      <c r="E170" s="1356"/>
      <c r="F170" s="1438"/>
      <c r="I170" s="1365"/>
    </row>
    <row r="171" spans="2:11" s="1364" customFormat="1" ht="14.25">
      <c r="B171" s="1350"/>
      <c r="C171" s="1397" t="s">
        <v>2940</v>
      </c>
      <c r="D171" s="1614" t="s">
        <v>5614</v>
      </c>
      <c r="E171" s="1614">
        <v>85.5</v>
      </c>
      <c r="F171" s="62"/>
      <c r="G171" s="1353"/>
      <c r="I171" s="1365"/>
    </row>
    <row r="172" spans="2:11" s="1364" customFormat="1" ht="14.25">
      <c r="B172" s="1350"/>
      <c r="C172" s="1397" t="s">
        <v>2941</v>
      </c>
      <c r="D172" s="1614" t="s">
        <v>5614</v>
      </c>
      <c r="E172" s="1614">
        <f>(9.85+12.98+11.86)-(3.65+1.8+1+3.5+4.65+0.95+0.95425+4.35+1+1+4.35)*0.3</f>
        <v>26.53</v>
      </c>
      <c r="F172" s="62"/>
      <c r="G172" s="1353"/>
      <c r="I172" s="1365"/>
    </row>
    <row r="173" spans="2:11" s="1364" customFormat="1" ht="14.25">
      <c r="B173" s="1350"/>
      <c r="C173" s="1397" t="s">
        <v>2942</v>
      </c>
      <c r="D173" s="1614" t="s">
        <v>5614</v>
      </c>
      <c r="E173" s="1615">
        <f>10.9+4.9+4.55+4.55</f>
        <v>24.9</v>
      </c>
      <c r="F173" s="1438"/>
      <c r="I173" s="1365"/>
    </row>
    <row r="174" spans="2:11" s="1364" customFormat="1" ht="14.25">
      <c r="B174" s="1350"/>
      <c r="C174" s="1397" t="s">
        <v>2943</v>
      </c>
      <c r="D174" s="1614" t="s">
        <v>5614</v>
      </c>
      <c r="E174" s="1615">
        <f>(27.62+26.46)+5+5.55</f>
        <v>64.63</v>
      </c>
      <c r="F174" s="1438"/>
      <c r="I174" s="1365"/>
    </row>
    <row r="175" spans="2:11" s="1364" customFormat="1" ht="14.25">
      <c r="B175" s="1350"/>
      <c r="C175" s="1397" t="s">
        <v>2944</v>
      </c>
      <c r="D175" s="1614" t="s">
        <v>5614</v>
      </c>
      <c r="E175" s="1615">
        <f>(1.34+1.39+1.44+1.51+1.61+1.72+1.86+2.4+2.92+2.98+2.65)+(1.46+1.47+1.52+1.57+1.65+1.76+2.27+2.73+2.68+1.26+6.68)</f>
        <v>46.87</v>
      </c>
      <c r="F175" s="1438"/>
      <c r="I175" s="1365"/>
    </row>
    <row r="176" spans="2:11" s="1364" customFormat="1" ht="14.25">
      <c r="B176" s="1350"/>
      <c r="C176" s="1397" t="s">
        <v>2945</v>
      </c>
      <c r="D176" s="1614" t="s">
        <v>5614</v>
      </c>
      <c r="E176" s="1615">
        <f>0.6*3.3</f>
        <v>1.98</v>
      </c>
      <c r="F176" s="1438"/>
      <c r="I176" s="1365"/>
    </row>
    <row r="177" spans="2:11" s="1364" customFormat="1" ht="14.25">
      <c r="B177" s="1350"/>
      <c r="C177" s="1397" t="s">
        <v>2946</v>
      </c>
      <c r="D177" s="1614" t="s">
        <v>5614</v>
      </c>
      <c r="E177" s="1615">
        <v>24.33</v>
      </c>
      <c r="F177" s="1438"/>
      <c r="I177" s="1365"/>
    </row>
    <row r="178" spans="2:11" s="1364" customFormat="1" ht="14.25">
      <c r="B178" s="1350"/>
      <c r="C178" s="1613" t="s">
        <v>2947</v>
      </c>
      <c r="D178" s="1616" t="s">
        <v>5614</v>
      </c>
      <c r="E178" s="1617">
        <v>24.85</v>
      </c>
      <c r="F178" s="1438"/>
      <c r="I178" s="1365"/>
    </row>
    <row r="179" spans="2:11" s="1364" customFormat="1" ht="14.25">
      <c r="B179" s="1350"/>
      <c r="C179" s="1352" t="s">
        <v>2948</v>
      </c>
      <c r="D179" s="1343" t="s">
        <v>2871</v>
      </c>
      <c r="E179" s="1343">
        <f>(E171*0.3)+(E172*0.2)+(E173*0.15)+(E174*0.15)+(E175*0.15*1.2)+(E176*0.15)+(E177*0.15)+(E178*0.15)</f>
        <v>60.5</v>
      </c>
      <c r="F179" s="62"/>
      <c r="G179" s="1353">
        <f t="shared" ref="G179" si="19">E179*F179</f>
        <v>0</v>
      </c>
      <c r="I179" s="1365"/>
    </row>
    <row r="180" spans="2:11" s="1364" customFormat="1">
      <c r="B180" s="1350"/>
      <c r="C180" s="1355"/>
      <c r="D180" s="1343"/>
      <c r="E180" s="1343"/>
      <c r="F180" s="62"/>
      <c r="G180" s="1353"/>
      <c r="I180" s="1365"/>
      <c r="J180" s="1620"/>
      <c r="K180" s="1435"/>
    </row>
    <row r="181" spans="2:11" s="1364" customFormat="1">
      <c r="B181" s="1350" t="s">
        <v>2949</v>
      </c>
      <c r="C181" s="1352" t="s">
        <v>2950</v>
      </c>
      <c r="D181" s="1343"/>
      <c r="E181" s="1343"/>
      <c r="F181" s="62"/>
      <c r="G181" s="1353"/>
      <c r="I181" s="1365"/>
    </row>
    <row r="182" spans="2:11" s="1364" customFormat="1" ht="38.25">
      <c r="B182" s="1350"/>
      <c r="C182" s="1352" t="s">
        <v>2951</v>
      </c>
      <c r="D182" s="1356"/>
      <c r="E182" s="1356"/>
      <c r="F182" s="1438"/>
      <c r="I182" s="1365"/>
    </row>
    <row r="183" spans="2:11" s="1364" customFormat="1">
      <c r="B183" s="1350"/>
      <c r="C183" s="1352" t="s">
        <v>2952</v>
      </c>
      <c r="D183" s="1356"/>
      <c r="E183" s="1356"/>
      <c r="F183" s="1438"/>
      <c r="I183" s="1365"/>
    </row>
    <row r="184" spans="2:11" s="1364" customFormat="1">
      <c r="B184" s="1350"/>
      <c r="C184" s="1352" t="s">
        <v>2953</v>
      </c>
      <c r="D184" s="1356"/>
      <c r="E184" s="1356"/>
      <c r="F184" s="1438"/>
      <c r="I184" s="1365"/>
    </row>
    <row r="185" spans="2:11" s="1364" customFormat="1" ht="63.75">
      <c r="B185" s="1350"/>
      <c r="C185" s="1352" t="s">
        <v>2954</v>
      </c>
      <c r="D185" s="1356"/>
      <c r="E185" s="1356"/>
      <c r="F185" s="1438"/>
      <c r="I185" s="1365"/>
    </row>
    <row r="186" spans="2:11" s="1364" customFormat="1">
      <c r="B186" s="1350"/>
      <c r="C186" s="1397" t="s">
        <v>2955</v>
      </c>
      <c r="D186" s="1614" t="s">
        <v>1184</v>
      </c>
      <c r="E186" s="1621">
        <v>17</v>
      </c>
      <c r="F186" s="64"/>
      <c r="G186" s="1353"/>
      <c r="I186" s="1365"/>
    </row>
    <row r="187" spans="2:11" s="1364" customFormat="1">
      <c r="B187" s="1350"/>
      <c r="C187" s="1613" t="s">
        <v>2956</v>
      </c>
      <c r="D187" s="1616" t="s">
        <v>1184</v>
      </c>
      <c r="E187" s="1611">
        <v>25</v>
      </c>
      <c r="F187" s="62"/>
      <c r="G187" s="1353"/>
      <c r="I187" s="1365"/>
    </row>
    <row r="188" spans="2:11" s="1364" customFormat="1">
      <c r="B188" s="1350"/>
      <c r="C188" s="1352" t="s">
        <v>2957</v>
      </c>
      <c r="D188" s="1369" t="s">
        <v>1184</v>
      </c>
      <c r="E188" s="1369">
        <f>SUM(E186:E187)</f>
        <v>42</v>
      </c>
      <c r="F188" s="62"/>
      <c r="G188" s="1353">
        <f t="shared" ref="G188" si="20">E188*F188</f>
        <v>0</v>
      </c>
      <c r="I188" s="1365"/>
    </row>
    <row r="189" spans="2:11" s="1364" customFormat="1">
      <c r="B189" s="1350"/>
      <c r="C189" s="1352"/>
      <c r="D189" s="1621"/>
      <c r="E189" s="1621"/>
      <c r="F189" s="62"/>
      <c r="G189" s="1353"/>
      <c r="I189" s="1365"/>
    </row>
    <row r="190" spans="2:11" s="1364" customFormat="1">
      <c r="B190" s="1350"/>
      <c r="C190" s="1352"/>
      <c r="D190" s="1621"/>
      <c r="E190" s="1621"/>
      <c r="F190" s="62"/>
      <c r="G190" s="1353"/>
      <c r="I190" s="1365"/>
    </row>
    <row r="191" spans="2:11" s="1364" customFormat="1">
      <c r="B191" s="1350" t="s">
        <v>2958</v>
      </c>
      <c r="C191" s="1352" t="s">
        <v>2959</v>
      </c>
      <c r="D191" s="1621"/>
      <c r="E191" s="1621"/>
      <c r="F191" s="62"/>
      <c r="G191" s="1353"/>
      <c r="I191" s="1365"/>
    </row>
    <row r="192" spans="2:11" s="1364" customFormat="1" ht="25.5">
      <c r="B192" s="1350"/>
      <c r="C192" s="1352" t="s">
        <v>2960</v>
      </c>
      <c r="D192" s="1621"/>
      <c r="E192" s="1621"/>
      <c r="F192" s="62"/>
      <c r="G192" s="1353"/>
      <c r="I192" s="1365"/>
    </row>
    <row r="193" spans="2:9" s="1364" customFormat="1" ht="51">
      <c r="B193" s="1350"/>
      <c r="C193" s="1370" t="s">
        <v>2961</v>
      </c>
      <c r="D193" s="1356"/>
      <c r="E193" s="1343"/>
      <c r="F193" s="62"/>
      <c r="G193" s="1353"/>
      <c r="I193" s="1365"/>
    </row>
    <row r="194" spans="2:9" s="1364" customFormat="1" ht="38.25">
      <c r="B194" s="1350"/>
      <c r="C194" s="1370" t="s">
        <v>2962</v>
      </c>
      <c r="D194" s="1356"/>
      <c r="E194" s="1343"/>
      <c r="F194" s="62"/>
      <c r="G194" s="1353"/>
      <c r="I194" s="1365"/>
    </row>
    <row r="195" spans="2:9" s="1364" customFormat="1" ht="38.25">
      <c r="B195" s="1350"/>
      <c r="C195" s="1370" t="s">
        <v>2963</v>
      </c>
      <c r="D195" s="1356"/>
      <c r="E195" s="1343"/>
      <c r="F195" s="62"/>
      <c r="G195" s="1353"/>
      <c r="I195" s="1365"/>
    </row>
    <row r="196" spans="2:9" s="1364" customFormat="1" ht="38.25">
      <c r="B196" s="1350"/>
      <c r="C196" s="1359" t="s">
        <v>2964</v>
      </c>
      <c r="D196" s="1356"/>
      <c r="E196" s="1356"/>
      <c r="F196" s="1438"/>
      <c r="I196" s="1365"/>
    </row>
    <row r="197" spans="2:9" s="1364" customFormat="1" ht="25.5">
      <c r="B197" s="1350"/>
      <c r="C197" s="1359" t="s">
        <v>2965</v>
      </c>
      <c r="D197" s="1356"/>
      <c r="E197" s="1356"/>
      <c r="F197" s="1438"/>
      <c r="I197" s="1365"/>
    </row>
    <row r="198" spans="2:9" s="1364" customFormat="1">
      <c r="B198" s="1350"/>
      <c r="C198" s="1371" t="s">
        <v>2966</v>
      </c>
      <c r="D198" s="1356"/>
      <c r="E198" s="1356"/>
      <c r="F198" s="1438"/>
      <c r="I198" s="1365"/>
    </row>
    <row r="199" spans="2:9" s="1364" customFormat="1">
      <c r="B199" s="1350"/>
      <c r="C199" s="1355" t="s">
        <v>2967</v>
      </c>
      <c r="D199" s="1343"/>
      <c r="E199" s="1343"/>
      <c r="F199" s="62"/>
      <c r="G199" s="1353"/>
      <c r="I199" s="1365"/>
    </row>
    <row r="200" spans="2:9" s="1364" customFormat="1">
      <c r="B200" s="1350"/>
      <c r="C200" s="1397" t="s">
        <v>2928</v>
      </c>
      <c r="D200" s="1614" t="s">
        <v>1184</v>
      </c>
      <c r="E200" s="1614">
        <v>6</v>
      </c>
      <c r="F200" s="62"/>
      <c r="G200" s="1353"/>
      <c r="I200" s="1365"/>
    </row>
    <row r="201" spans="2:9" s="1364" customFormat="1">
      <c r="B201" s="1350"/>
      <c r="C201" s="1397" t="s">
        <v>2929</v>
      </c>
      <c r="D201" s="1614" t="s">
        <v>1184</v>
      </c>
      <c r="E201" s="1614">
        <v>8.5</v>
      </c>
      <c r="F201" s="62"/>
      <c r="G201" s="1353"/>
      <c r="I201" s="1365"/>
    </row>
    <row r="202" spans="2:9" s="1364" customFormat="1">
      <c r="B202" s="1350"/>
      <c r="C202" s="1613" t="s">
        <v>2930</v>
      </c>
      <c r="D202" s="1616" t="s">
        <v>1184</v>
      </c>
      <c r="E202" s="1616">
        <v>11</v>
      </c>
      <c r="F202" s="62"/>
      <c r="G202" s="1353"/>
      <c r="I202" s="1365"/>
    </row>
    <row r="203" spans="2:9" s="1364" customFormat="1">
      <c r="B203" s="1350"/>
      <c r="C203" s="1355" t="s">
        <v>2968</v>
      </c>
      <c r="D203" s="1343"/>
      <c r="E203" s="1343"/>
      <c r="F203" s="62"/>
      <c r="G203" s="1353"/>
      <c r="I203" s="1365"/>
    </row>
    <row r="204" spans="2:9" s="1364" customFormat="1">
      <c r="B204" s="1350"/>
      <c r="C204" s="1613" t="s">
        <v>2931</v>
      </c>
      <c r="D204" s="1611" t="s">
        <v>1184</v>
      </c>
      <c r="E204" s="1411">
        <v>12.75</v>
      </c>
      <c r="F204" s="62"/>
      <c r="G204" s="1353"/>
      <c r="I204" s="1365"/>
    </row>
    <row r="205" spans="2:9" s="1364" customFormat="1">
      <c r="B205" s="1350"/>
      <c r="C205" s="1352" t="s">
        <v>2957</v>
      </c>
      <c r="D205" s="1369" t="s">
        <v>1184</v>
      </c>
      <c r="E205" s="1369">
        <f>SUM(E200:E204)</f>
        <v>38.25</v>
      </c>
      <c r="F205" s="62"/>
      <c r="G205" s="1353">
        <f t="shared" ref="G205" si="21">E205*F205</f>
        <v>0</v>
      </c>
      <c r="I205" s="1365"/>
    </row>
    <row r="206" spans="2:9" s="1364" customFormat="1">
      <c r="B206" s="1350"/>
      <c r="C206" s="1397"/>
      <c r="D206" s="1614"/>
      <c r="E206" s="1614"/>
      <c r="F206" s="62"/>
      <c r="G206" s="1353"/>
      <c r="I206" s="1365"/>
    </row>
    <row r="207" spans="2:9" s="1364" customFormat="1">
      <c r="B207" s="1350"/>
      <c r="C207" s="1355"/>
      <c r="D207" s="1343"/>
      <c r="E207" s="1343"/>
      <c r="F207" s="62"/>
      <c r="G207" s="1353"/>
      <c r="I207" s="1365"/>
    </row>
    <row r="208" spans="2:9" s="1364" customFormat="1">
      <c r="B208" s="1346" t="s">
        <v>978</v>
      </c>
      <c r="C208" s="1362" t="str">
        <f>"UKUPNO - "&amp;C128&amp;" (€):"</f>
        <v>UKUPNO - ZEMLJANI RADOVI (€):</v>
      </c>
      <c r="D208" s="1363"/>
      <c r="E208" s="1363"/>
      <c r="F208" s="1439"/>
      <c r="G208" s="1349">
        <f>SUM(G129:G207)</f>
        <v>0</v>
      </c>
      <c r="I208" s="1365"/>
    </row>
    <row r="209" spans="2:9" s="1364" customFormat="1">
      <c r="B209" s="1350"/>
      <c r="C209" s="1352"/>
      <c r="D209" s="1343"/>
      <c r="E209" s="1343"/>
      <c r="F209" s="62"/>
      <c r="G209" s="1353"/>
      <c r="I209" s="1365"/>
    </row>
    <row r="210" spans="2:9" s="1364" customFormat="1">
      <c r="B210" s="1350"/>
      <c r="C210" s="1352"/>
      <c r="D210" s="1343"/>
      <c r="E210" s="1343"/>
      <c r="F210" s="62"/>
      <c r="G210" s="1353"/>
      <c r="I210" s="1365"/>
    </row>
    <row r="211" spans="2:9" s="1364" customFormat="1">
      <c r="B211" s="1372" t="s">
        <v>980</v>
      </c>
      <c r="C211" s="1347" t="s">
        <v>2969</v>
      </c>
      <c r="D211" s="1348"/>
      <c r="E211" s="1348"/>
      <c r="F211" s="1440"/>
      <c r="G211" s="1373"/>
      <c r="I211" s="1365"/>
    </row>
    <row r="212" spans="2:9" s="1364" customFormat="1">
      <c r="B212" s="1374"/>
      <c r="C212" s="1342"/>
      <c r="D212" s="1343"/>
      <c r="E212" s="1343"/>
      <c r="F212" s="62"/>
      <c r="G212" s="1353"/>
      <c r="I212" s="1365"/>
    </row>
    <row r="213" spans="2:9" s="1364" customFormat="1">
      <c r="B213" s="1374"/>
      <c r="C213" s="1342" t="s">
        <v>2970</v>
      </c>
      <c r="D213" s="1343"/>
      <c r="E213" s="1343"/>
      <c r="F213" s="62"/>
      <c r="G213" s="1353"/>
      <c r="I213" s="1365"/>
    </row>
    <row r="214" spans="2:9" s="1364" customFormat="1" ht="63.75">
      <c r="B214" s="1374"/>
      <c r="C214" s="1342" t="s">
        <v>2971</v>
      </c>
      <c r="D214" s="1343"/>
      <c r="E214" s="1343"/>
      <c r="F214" s="62"/>
      <c r="G214" s="1353"/>
      <c r="I214" s="1365"/>
    </row>
    <row r="215" spans="2:9" s="1364" customFormat="1" ht="25.5">
      <c r="B215" s="1374"/>
      <c r="C215" s="1342" t="s">
        <v>2972</v>
      </c>
      <c r="D215" s="1343"/>
      <c r="E215" s="1343"/>
      <c r="F215" s="62"/>
      <c r="G215" s="1353"/>
      <c r="I215" s="1365"/>
    </row>
    <row r="216" spans="2:9" s="1364" customFormat="1" ht="38.25">
      <c r="B216" s="1374"/>
      <c r="C216" s="1342" t="s">
        <v>2973</v>
      </c>
      <c r="D216" s="1343"/>
      <c r="E216" s="1343"/>
      <c r="F216" s="62"/>
      <c r="G216" s="1353"/>
      <c r="I216" s="1365"/>
    </row>
    <row r="217" spans="2:9" s="1364" customFormat="1" ht="25.5">
      <c r="B217" s="1374"/>
      <c r="C217" s="1342" t="s">
        <v>2974</v>
      </c>
      <c r="D217" s="1343"/>
      <c r="E217" s="1343"/>
      <c r="F217" s="62"/>
      <c r="G217" s="1353"/>
      <c r="I217" s="1365"/>
    </row>
    <row r="218" spans="2:9" s="1364" customFormat="1">
      <c r="B218" s="1374"/>
      <c r="C218" s="1342"/>
      <c r="D218" s="1343"/>
      <c r="E218" s="1343"/>
      <c r="F218" s="62"/>
      <c r="G218" s="1353"/>
      <c r="I218" s="1365"/>
    </row>
    <row r="219" spans="2:9" s="1364" customFormat="1">
      <c r="B219" s="1350" t="s">
        <v>2975</v>
      </c>
      <c r="C219" s="1352" t="s">
        <v>2976</v>
      </c>
      <c r="D219" s="1343"/>
      <c r="E219" s="1343"/>
      <c r="F219" s="62"/>
      <c r="G219" s="1353"/>
      <c r="I219" s="1365"/>
    </row>
    <row r="220" spans="2:9" s="1364" customFormat="1" ht="25.5">
      <c r="B220" s="1374"/>
      <c r="C220" s="1355" t="s">
        <v>2977</v>
      </c>
      <c r="D220" s="1356"/>
      <c r="E220" s="1356"/>
      <c r="F220" s="1438"/>
      <c r="I220" s="1365"/>
    </row>
    <row r="221" spans="2:9" s="1364" customFormat="1">
      <c r="B221" s="1374"/>
      <c r="C221" s="1355" t="s">
        <v>2978</v>
      </c>
      <c r="D221" s="1356"/>
      <c r="E221" s="1356"/>
      <c r="F221" s="1438"/>
      <c r="I221" s="1365"/>
    </row>
    <row r="222" spans="2:9" s="1364" customFormat="1">
      <c r="B222" s="1374"/>
      <c r="C222" s="1355"/>
      <c r="D222" s="1356"/>
      <c r="E222" s="1356"/>
      <c r="F222" s="1438"/>
      <c r="I222" s="1365"/>
    </row>
    <row r="223" spans="2:9" s="1364" customFormat="1">
      <c r="B223" s="1374" t="s">
        <v>2979</v>
      </c>
      <c r="C223" s="1355" t="s">
        <v>2980</v>
      </c>
      <c r="D223" s="1356"/>
      <c r="E223" s="1356"/>
      <c r="F223" s="1438"/>
      <c r="I223" s="1365"/>
    </row>
    <row r="224" spans="2:9" s="1364" customFormat="1" ht="25.5">
      <c r="B224" s="1374"/>
      <c r="C224" s="1355" t="s">
        <v>2981</v>
      </c>
      <c r="D224" s="1356"/>
      <c r="E224" s="1356"/>
      <c r="F224" s="1438"/>
      <c r="I224" s="1365"/>
    </row>
    <row r="225" spans="2:9" s="1364" customFormat="1" ht="14.25">
      <c r="B225" s="1350"/>
      <c r="C225" s="1397" t="s">
        <v>2982</v>
      </c>
      <c r="D225" s="1614" t="s">
        <v>5614</v>
      </c>
      <c r="E225" s="1614">
        <f>2*6.41</f>
        <v>12.82</v>
      </c>
      <c r="F225" s="62"/>
      <c r="G225" s="1353"/>
      <c r="I225" s="1365"/>
    </row>
    <row r="226" spans="2:9" s="1364" customFormat="1" ht="14.25">
      <c r="B226" s="1350"/>
      <c r="C226" s="1397" t="s">
        <v>2983</v>
      </c>
      <c r="D226" s="1614" t="s">
        <v>5614</v>
      </c>
      <c r="E226" s="1614">
        <f>(9.85+12.98+11.86)</f>
        <v>34.69</v>
      </c>
      <c r="F226" s="62"/>
      <c r="G226" s="1353"/>
      <c r="I226" s="1365"/>
    </row>
    <row r="227" spans="2:9" s="1364" customFormat="1" ht="14.25">
      <c r="B227" s="1350"/>
      <c r="C227" s="1397" t="s">
        <v>2984</v>
      </c>
      <c r="D227" s="1614" t="s">
        <v>5614</v>
      </c>
      <c r="E227" s="1615">
        <f>3*0.3</f>
        <v>0.9</v>
      </c>
      <c r="F227" s="1438"/>
      <c r="I227" s="1365"/>
    </row>
    <row r="228" spans="2:9" s="1364" customFormat="1" ht="14.25">
      <c r="B228" s="1350"/>
      <c r="C228" s="1397" t="s">
        <v>2985</v>
      </c>
      <c r="D228" s="1614" t="s">
        <v>5614</v>
      </c>
      <c r="E228" s="1615">
        <f>4.5*1.2</f>
        <v>5.4</v>
      </c>
      <c r="F228" s="1438"/>
      <c r="I228" s="1365"/>
    </row>
    <row r="229" spans="2:9" s="1364" customFormat="1" ht="14.25">
      <c r="B229" s="1350"/>
      <c r="C229" s="1397" t="s">
        <v>2986</v>
      </c>
      <c r="D229" s="1614" t="s">
        <v>5614</v>
      </c>
      <c r="E229" s="1615">
        <f>3.5+3.25</f>
        <v>6.75</v>
      </c>
      <c r="F229" s="1438"/>
      <c r="I229" s="1365"/>
    </row>
    <row r="230" spans="2:9" s="1364" customFormat="1" ht="14.25">
      <c r="B230" s="1350"/>
      <c r="C230" s="1397" t="s">
        <v>2987</v>
      </c>
      <c r="D230" s="1614" t="s">
        <v>5614</v>
      </c>
      <c r="E230" s="1614">
        <f>6*0.6</f>
        <v>3.6</v>
      </c>
      <c r="F230" s="62"/>
      <c r="G230" s="1353"/>
      <c r="I230" s="1365"/>
    </row>
    <row r="231" spans="2:9" s="1364" customFormat="1" ht="14.25">
      <c r="B231" s="1350"/>
      <c r="C231" s="1397" t="s">
        <v>2988</v>
      </c>
      <c r="D231" s="1614" t="s">
        <v>5614</v>
      </c>
      <c r="E231" s="1614">
        <f>8.5*0.6</f>
        <v>5.0999999999999996</v>
      </c>
      <c r="F231" s="62"/>
      <c r="G231" s="1353"/>
      <c r="I231" s="1365"/>
    </row>
    <row r="232" spans="2:9" s="1364" customFormat="1" ht="14.25">
      <c r="B232" s="1350"/>
      <c r="C232" s="1397" t="s">
        <v>2989</v>
      </c>
      <c r="D232" s="1614" t="s">
        <v>5614</v>
      </c>
      <c r="E232" s="1614">
        <f>11*0.6</f>
        <v>6.6</v>
      </c>
      <c r="F232" s="62"/>
      <c r="G232" s="1353"/>
      <c r="I232" s="1365"/>
    </row>
    <row r="233" spans="2:9" s="1364" customFormat="1" ht="14.25">
      <c r="B233" s="1350"/>
      <c r="C233" s="1613" t="s">
        <v>2990</v>
      </c>
      <c r="D233" s="1616" t="s">
        <v>5614</v>
      </c>
      <c r="E233" s="1616">
        <f>12.75*0.6</f>
        <v>7.65</v>
      </c>
      <c r="F233" s="62"/>
      <c r="G233" s="1353"/>
      <c r="I233" s="1365"/>
    </row>
    <row r="234" spans="2:9" s="1364" customFormat="1" ht="14.25">
      <c r="B234" s="1374"/>
      <c r="C234" s="1352" t="s">
        <v>2991</v>
      </c>
      <c r="D234" s="1343" t="s">
        <v>2871</v>
      </c>
      <c r="E234" s="1356">
        <f>SUM(E225:E233)*0.05</f>
        <v>4.18</v>
      </c>
      <c r="F234" s="62"/>
      <c r="G234" s="1353">
        <f t="shared" ref="G234" si="22">E234*F234</f>
        <v>0</v>
      </c>
      <c r="I234" s="1365"/>
    </row>
    <row r="235" spans="2:9" s="1364" customFormat="1">
      <c r="B235" s="1374"/>
      <c r="C235" s="1355"/>
      <c r="D235" s="1343"/>
      <c r="E235" s="1356"/>
      <c r="F235" s="62"/>
      <c r="G235" s="1353"/>
      <c r="I235" s="1365"/>
    </row>
    <row r="236" spans="2:9" s="1364" customFormat="1">
      <c r="B236" s="1374" t="s">
        <v>2992</v>
      </c>
      <c r="C236" s="1355" t="s">
        <v>2993</v>
      </c>
      <c r="D236" s="1356"/>
      <c r="E236" s="1356"/>
      <c r="F236" s="1438"/>
      <c r="I236" s="1365"/>
    </row>
    <row r="237" spans="2:9" s="1364" customFormat="1">
      <c r="B237" s="1374"/>
      <c r="C237" s="1355" t="s">
        <v>2994</v>
      </c>
      <c r="D237" s="1356"/>
      <c r="E237" s="1356"/>
      <c r="F237" s="1438"/>
      <c r="I237" s="1365"/>
    </row>
    <row r="238" spans="2:9" s="1364" customFormat="1" ht="14.25">
      <c r="B238" s="1350"/>
      <c r="C238" s="1613" t="s">
        <v>2995</v>
      </c>
      <c r="D238" s="1616" t="s">
        <v>5614</v>
      </c>
      <c r="E238" s="1617">
        <f>((16*1.5)+2.6+2.2+2+2.3+2.6+1.8)*0.3</f>
        <v>11.25</v>
      </c>
      <c r="F238" s="1438"/>
      <c r="I238" s="1365"/>
    </row>
    <row r="239" spans="2:9" s="1364" customFormat="1" ht="14.25">
      <c r="B239" s="1374"/>
      <c r="C239" s="1352" t="s">
        <v>2991</v>
      </c>
      <c r="D239" s="1343" t="s">
        <v>2871</v>
      </c>
      <c r="E239" s="1356">
        <f>SUM(E238:E238)*0.15</f>
        <v>1.69</v>
      </c>
      <c r="F239" s="62"/>
      <c r="G239" s="1353">
        <f t="shared" ref="G239" si="23">E239*F239</f>
        <v>0</v>
      </c>
      <c r="I239" s="1365"/>
    </row>
    <row r="240" spans="2:9" s="1364" customFormat="1">
      <c r="B240" s="1374"/>
      <c r="C240" s="1355"/>
      <c r="D240" s="1356"/>
      <c r="E240" s="1356"/>
      <c r="F240" s="1438"/>
      <c r="I240" s="1365"/>
    </row>
    <row r="241" spans="2:9" s="1364" customFormat="1">
      <c r="B241" s="1374" t="s">
        <v>2996</v>
      </c>
      <c r="C241" s="1355" t="s">
        <v>2997</v>
      </c>
      <c r="D241" s="1356"/>
      <c r="E241" s="1356"/>
      <c r="F241" s="1438"/>
      <c r="I241" s="1365"/>
    </row>
    <row r="242" spans="2:9" s="1364" customFormat="1" ht="25.5">
      <c r="B242" s="1374"/>
      <c r="C242" s="1355" t="s">
        <v>2998</v>
      </c>
      <c r="D242" s="1356"/>
      <c r="E242" s="1356"/>
      <c r="F242" s="1438"/>
      <c r="I242" s="1365"/>
    </row>
    <row r="243" spans="2:9" s="1364" customFormat="1" ht="38.25">
      <c r="B243" s="1374"/>
      <c r="C243" s="1355" t="s">
        <v>2999</v>
      </c>
      <c r="D243" s="1356"/>
      <c r="E243" s="1356"/>
      <c r="F243" s="1438"/>
      <c r="I243" s="1365"/>
    </row>
    <row r="244" spans="2:9" s="1364" customFormat="1">
      <c r="B244" s="1350"/>
      <c r="C244" s="1397" t="s">
        <v>3000</v>
      </c>
      <c r="D244" s="1614" t="s">
        <v>34</v>
      </c>
      <c r="E244" s="1615">
        <v>18</v>
      </c>
      <c r="F244" s="1438"/>
      <c r="I244" s="1365"/>
    </row>
    <row r="245" spans="2:9" s="1364" customFormat="1">
      <c r="B245" s="1350"/>
      <c r="C245" s="1397" t="s">
        <v>3001</v>
      </c>
      <c r="D245" s="1614" t="s">
        <v>34</v>
      </c>
      <c r="E245" s="1615">
        <v>6</v>
      </c>
      <c r="F245" s="1438"/>
      <c r="I245" s="1365"/>
    </row>
    <row r="246" spans="2:9" s="1364" customFormat="1">
      <c r="B246" s="1350"/>
      <c r="C246" s="1613" t="s">
        <v>3002</v>
      </c>
      <c r="D246" s="1616" t="s">
        <v>34</v>
      </c>
      <c r="E246" s="1617">
        <v>4</v>
      </c>
      <c r="F246" s="1438"/>
      <c r="I246" s="1365"/>
    </row>
    <row r="247" spans="2:9" s="1364" customFormat="1" ht="14.25">
      <c r="B247" s="1374"/>
      <c r="C247" s="1352" t="s">
        <v>2991</v>
      </c>
      <c r="D247" s="1343" t="s">
        <v>2871</v>
      </c>
      <c r="E247" s="1356">
        <f>(E244+E245+E246)*0.3*0.3*0.2</f>
        <v>0.5</v>
      </c>
      <c r="F247" s="62"/>
      <c r="G247" s="1353">
        <f t="shared" ref="G247" si="24">E247*F247</f>
        <v>0</v>
      </c>
      <c r="I247" s="1365"/>
    </row>
    <row r="248" spans="2:9" s="1364" customFormat="1">
      <c r="B248" s="1374"/>
      <c r="C248" s="1355"/>
      <c r="D248" s="1343"/>
      <c r="E248" s="1356"/>
      <c r="F248" s="62"/>
      <c r="G248" s="1353"/>
      <c r="I248" s="1365"/>
    </row>
    <row r="249" spans="2:9" s="1364" customFormat="1">
      <c r="B249" s="1374"/>
      <c r="C249" s="1355"/>
      <c r="D249" s="1356"/>
      <c r="E249" s="1356"/>
      <c r="F249" s="1438"/>
      <c r="I249" s="1365"/>
    </row>
    <row r="250" spans="2:9" s="1364" customFormat="1">
      <c r="B250" s="1374" t="s">
        <v>3003</v>
      </c>
      <c r="C250" s="1375" t="s">
        <v>3004</v>
      </c>
      <c r="D250" s="1343"/>
      <c r="E250" s="1343"/>
      <c r="F250" s="62"/>
      <c r="G250" s="1353"/>
      <c r="I250" s="1365"/>
    </row>
    <row r="251" spans="2:9" s="1364" customFormat="1">
      <c r="B251" s="1374"/>
      <c r="C251" s="1342" t="s">
        <v>3005</v>
      </c>
      <c r="D251" s="1343"/>
      <c r="E251" s="1343"/>
      <c r="F251" s="62"/>
      <c r="G251" s="1353"/>
      <c r="I251" s="1365"/>
    </row>
    <row r="252" spans="2:9" s="1364" customFormat="1" ht="25.5">
      <c r="B252" s="1350"/>
      <c r="C252" s="1355" t="s">
        <v>3006</v>
      </c>
      <c r="D252" s="1343"/>
      <c r="E252" s="1343"/>
      <c r="F252" s="62"/>
      <c r="G252" s="1353"/>
      <c r="I252" s="1365"/>
    </row>
    <row r="253" spans="2:9" s="1364" customFormat="1" ht="25.5">
      <c r="B253" s="1374"/>
      <c r="C253" s="1355" t="s">
        <v>3007</v>
      </c>
      <c r="D253" s="1356"/>
      <c r="E253" s="1356"/>
      <c r="F253" s="1438"/>
      <c r="I253" s="1365"/>
    </row>
    <row r="254" spans="2:9" s="1364" customFormat="1" ht="25.5">
      <c r="B254" s="1374"/>
      <c r="C254" s="1355" t="s">
        <v>3008</v>
      </c>
      <c r="D254" s="1356"/>
      <c r="E254" s="1356"/>
      <c r="F254" s="1438"/>
      <c r="I254" s="1365"/>
    </row>
    <row r="255" spans="2:9" s="1364" customFormat="1">
      <c r="B255" s="1374"/>
      <c r="C255" s="1355"/>
      <c r="D255" s="1356"/>
      <c r="E255" s="1356"/>
      <c r="F255" s="1438"/>
      <c r="I255" s="1365"/>
    </row>
    <row r="256" spans="2:9" s="1364" customFormat="1">
      <c r="B256" s="1374" t="s">
        <v>3009</v>
      </c>
      <c r="C256" s="1355" t="s">
        <v>2967</v>
      </c>
      <c r="D256" s="1356"/>
      <c r="E256" s="1356"/>
      <c r="F256" s="1438"/>
      <c r="I256" s="1365"/>
    </row>
    <row r="257" spans="2:9" s="1364" customFormat="1">
      <c r="B257" s="1350"/>
      <c r="C257" s="1397" t="s">
        <v>2928</v>
      </c>
      <c r="D257" s="1614" t="s">
        <v>1184</v>
      </c>
      <c r="E257" s="1614">
        <v>6</v>
      </c>
      <c r="F257" s="62"/>
      <c r="G257" s="1353"/>
      <c r="I257" s="1365"/>
    </row>
    <row r="258" spans="2:9" s="1364" customFormat="1">
      <c r="B258" s="1350"/>
      <c r="C258" s="1397" t="s">
        <v>2929</v>
      </c>
      <c r="D258" s="1614" t="s">
        <v>1184</v>
      </c>
      <c r="E258" s="1614">
        <v>8.5</v>
      </c>
      <c r="F258" s="62"/>
      <c r="G258" s="1353"/>
      <c r="I258" s="1365"/>
    </row>
    <row r="259" spans="2:9" s="1364" customFormat="1">
      <c r="B259" s="1350"/>
      <c r="C259" s="1613" t="s">
        <v>2930</v>
      </c>
      <c r="D259" s="1616" t="s">
        <v>1184</v>
      </c>
      <c r="E259" s="1616">
        <v>11</v>
      </c>
      <c r="F259" s="62"/>
      <c r="G259" s="1353"/>
      <c r="I259" s="1365"/>
    </row>
    <row r="260" spans="2:9" s="1364" customFormat="1" ht="14.25">
      <c r="B260" s="1350"/>
      <c r="C260" s="1352" t="s">
        <v>2991</v>
      </c>
      <c r="D260" s="1343" t="s">
        <v>2871</v>
      </c>
      <c r="E260" s="1343">
        <f>(E257+E258+E259)*0.6*0.7</f>
        <v>10.71</v>
      </c>
      <c r="F260" s="62"/>
      <c r="G260" s="1353">
        <f t="shared" ref="G260:G261" si="25">E260*F260</f>
        <v>0</v>
      </c>
      <c r="I260" s="1365"/>
    </row>
    <row r="261" spans="2:9" s="1364" customFormat="1">
      <c r="B261" s="1350"/>
      <c r="C261" s="1355" t="s">
        <v>3010</v>
      </c>
      <c r="D261" s="1343" t="s">
        <v>68</v>
      </c>
      <c r="E261" s="1343">
        <f>E260*90</f>
        <v>963.9</v>
      </c>
      <c r="F261" s="62"/>
      <c r="G261" s="1353">
        <f t="shared" si="25"/>
        <v>0</v>
      </c>
      <c r="I261" s="1365"/>
    </row>
    <row r="262" spans="2:9" s="1364" customFormat="1">
      <c r="B262" s="1350"/>
      <c r="C262" s="1355"/>
      <c r="D262" s="1343"/>
      <c r="E262" s="1343"/>
      <c r="F262" s="62"/>
      <c r="G262" s="1353"/>
      <c r="I262" s="1365"/>
    </row>
    <row r="263" spans="2:9" s="1364" customFormat="1">
      <c r="B263" s="1350" t="s">
        <v>3011</v>
      </c>
      <c r="C263" s="1355" t="s">
        <v>2968</v>
      </c>
      <c r="D263" s="1343"/>
      <c r="E263" s="1343"/>
      <c r="F263" s="62"/>
      <c r="G263" s="1353"/>
      <c r="I263" s="1365"/>
    </row>
    <row r="264" spans="2:9" s="1364" customFormat="1">
      <c r="B264" s="1350"/>
      <c r="C264" s="1613" t="s">
        <v>2931</v>
      </c>
      <c r="D264" s="1611" t="s">
        <v>1184</v>
      </c>
      <c r="E264" s="1411">
        <v>12.75</v>
      </c>
      <c r="F264" s="62"/>
      <c r="G264" s="1353"/>
      <c r="I264" s="1365"/>
    </row>
    <row r="265" spans="2:9" s="1364" customFormat="1" ht="14.25">
      <c r="B265" s="1350"/>
      <c r="C265" s="1352" t="s">
        <v>2991</v>
      </c>
      <c r="D265" s="1343" t="s">
        <v>2871</v>
      </c>
      <c r="E265" s="1343">
        <f>E264*0.6*0.7</f>
        <v>5.36</v>
      </c>
      <c r="F265" s="62"/>
      <c r="G265" s="1353">
        <f t="shared" ref="G265:G266" si="26">E265*F265</f>
        <v>0</v>
      </c>
      <c r="I265" s="1365"/>
    </row>
    <row r="266" spans="2:9" s="1364" customFormat="1">
      <c r="B266" s="1350"/>
      <c r="C266" s="1355" t="s">
        <v>3010</v>
      </c>
      <c r="D266" s="1343" t="s">
        <v>68</v>
      </c>
      <c r="E266" s="1343">
        <f>E265*90</f>
        <v>482.4</v>
      </c>
      <c r="F266" s="62"/>
      <c r="G266" s="1353">
        <f t="shared" si="26"/>
        <v>0</v>
      </c>
      <c r="I266" s="1365"/>
    </row>
    <row r="267" spans="2:9" s="1364" customFormat="1">
      <c r="B267" s="1350"/>
      <c r="C267" s="1355"/>
      <c r="D267" s="1343"/>
      <c r="E267" s="1343"/>
      <c r="F267" s="62"/>
      <c r="G267" s="1353"/>
      <c r="I267" s="1365"/>
    </row>
    <row r="268" spans="2:9" s="1364" customFormat="1">
      <c r="B268" s="1350"/>
      <c r="C268" s="1355"/>
      <c r="D268" s="1343"/>
      <c r="E268" s="1343"/>
      <c r="F268" s="62"/>
      <c r="G268" s="1353"/>
      <c r="I268" s="1365"/>
    </row>
    <row r="269" spans="2:9" s="1364" customFormat="1">
      <c r="B269" s="1374" t="s">
        <v>3012</v>
      </c>
      <c r="C269" s="1375" t="s">
        <v>3013</v>
      </c>
      <c r="D269" s="1343"/>
      <c r="E269" s="1343"/>
      <c r="F269" s="62"/>
      <c r="G269" s="1353"/>
      <c r="I269" s="1365"/>
    </row>
    <row r="270" spans="2:9" s="1364" customFormat="1">
      <c r="B270" s="1374"/>
      <c r="C270" s="1342" t="s">
        <v>3005</v>
      </c>
      <c r="D270" s="1343"/>
      <c r="E270" s="1343"/>
      <c r="F270" s="62"/>
      <c r="G270" s="1353"/>
      <c r="I270" s="1365"/>
    </row>
    <row r="271" spans="2:9" s="1364" customFormat="1" ht="38.25">
      <c r="B271" s="1350"/>
      <c r="C271" s="1355" t="s">
        <v>3014</v>
      </c>
      <c r="D271" s="1343"/>
      <c r="E271" s="1343"/>
      <c r="F271" s="62"/>
      <c r="G271" s="1353"/>
      <c r="I271" s="1365"/>
    </row>
    <row r="272" spans="2:9" s="1364" customFormat="1" ht="25.5">
      <c r="B272" s="1374"/>
      <c r="C272" s="1355" t="s">
        <v>3015</v>
      </c>
      <c r="D272" s="1356"/>
      <c r="E272" s="1356"/>
      <c r="F272" s="1438"/>
      <c r="I272" s="1365"/>
    </row>
    <row r="273" spans="2:9" s="1364" customFormat="1" ht="25.5">
      <c r="B273" s="1374"/>
      <c r="C273" s="1355" t="s">
        <v>3008</v>
      </c>
      <c r="D273" s="1356"/>
      <c r="E273" s="1356"/>
      <c r="F273" s="1438"/>
      <c r="I273" s="1365"/>
    </row>
    <row r="274" spans="2:9" s="1364" customFormat="1">
      <c r="B274" s="1374"/>
      <c r="C274" s="1355"/>
      <c r="D274" s="1356"/>
      <c r="E274" s="1356"/>
      <c r="F274" s="1438"/>
      <c r="I274" s="1365"/>
    </row>
    <row r="275" spans="2:9" s="1364" customFormat="1">
      <c r="B275" s="1374" t="s">
        <v>3016</v>
      </c>
      <c r="C275" s="1355" t="s">
        <v>2967</v>
      </c>
      <c r="D275" s="1356"/>
      <c r="E275" s="1356"/>
      <c r="F275" s="1438"/>
      <c r="I275" s="1365"/>
    </row>
    <row r="276" spans="2:9" s="1364" customFormat="1" ht="14.25">
      <c r="B276" s="1350"/>
      <c r="C276" s="1397" t="s">
        <v>3017</v>
      </c>
      <c r="D276" s="1614" t="s">
        <v>5614</v>
      </c>
      <c r="E276" s="1614">
        <f>2*6.41</f>
        <v>12.82</v>
      </c>
      <c r="F276" s="62"/>
      <c r="G276" s="1353"/>
      <c r="I276" s="1365"/>
    </row>
    <row r="277" spans="2:9" s="1364" customFormat="1" ht="14.25">
      <c r="B277" s="1350"/>
      <c r="C277" s="1613" t="s">
        <v>3018</v>
      </c>
      <c r="D277" s="1616" t="s">
        <v>5614</v>
      </c>
      <c r="E277" s="1616">
        <f>3*0.3</f>
        <v>0.9</v>
      </c>
      <c r="F277" s="62"/>
      <c r="G277" s="1353"/>
      <c r="I277" s="1365"/>
    </row>
    <row r="278" spans="2:9" s="1364" customFormat="1" ht="14.25">
      <c r="B278" s="1350"/>
      <c r="C278" s="1352" t="s">
        <v>2991</v>
      </c>
      <c r="D278" s="1343" t="s">
        <v>2871</v>
      </c>
      <c r="E278" s="1343">
        <f>(E276+E277)*0.45</f>
        <v>6.17</v>
      </c>
      <c r="F278" s="62"/>
      <c r="G278" s="1353">
        <f t="shared" ref="G278:G279" si="27">E278*F278</f>
        <v>0</v>
      </c>
      <c r="I278" s="1365"/>
    </row>
    <row r="279" spans="2:9" s="1364" customFormat="1">
      <c r="B279" s="1350"/>
      <c r="C279" s="1355" t="s">
        <v>3019</v>
      </c>
      <c r="D279" s="1343" t="s">
        <v>68</v>
      </c>
      <c r="E279" s="1343">
        <f>E278*100</f>
        <v>617</v>
      </c>
      <c r="F279" s="62"/>
      <c r="G279" s="1353">
        <f t="shared" si="27"/>
        <v>0</v>
      </c>
      <c r="I279" s="1365"/>
    </row>
    <row r="280" spans="2:9" s="1364" customFormat="1">
      <c r="B280" s="1350"/>
      <c r="C280" s="1355"/>
      <c r="D280" s="1343"/>
      <c r="E280" s="1343"/>
      <c r="F280" s="62"/>
      <c r="G280" s="1353"/>
      <c r="I280" s="1365"/>
    </row>
    <row r="281" spans="2:9" s="1364" customFormat="1">
      <c r="B281" s="1350" t="s">
        <v>3020</v>
      </c>
      <c r="C281" s="1355" t="s">
        <v>2968</v>
      </c>
      <c r="D281" s="1343"/>
      <c r="E281" s="1343"/>
      <c r="F281" s="62"/>
      <c r="G281" s="1353"/>
      <c r="I281" s="1365"/>
    </row>
    <row r="282" spans="2:9" s="1364" customFormat="1" ht="14.25">
      <c r="B282" s="1350"/>
      <c r="C282" s="1613" t="s">
        <v>3021</v>
      </c>
      <c r="D282" s="1616" t="s">
        <v>5614</v>
      </c>
      <c r="E282" s="1616">
        <f>(3.65+1.8+1+3.5+4.65+0.95+0.95425+4.35+1+1+4.35)*0.3</f>
        <v>8.16</v>
      </c>
      <c r="F282" s="62"/>
      <c r="G282" s="1353"/>
      <c r="I282" s="1365"/>
    </row>
    <row r="283" spans="2:9" s="1364" customFormat="1" ht="14.25">
      <c r="B283" s="1350"/>
      <c r="C283" s="1352" t="s">
        <v>2991</v>
      </c>
      <c r="D283" s="1343" t="s">
        <v>2871</v>
      </c>
      <c r="E283" s="1343">
        <f>E282*0.45</f>
        <v>3.67</v>
      </c>
      <c r="F283" s="62"/>
      <c r="G283" s="1353">
        <f t="shared" ref="G283:G284" si="28">E283*F283</f>
        <v>0</v>
      </c>
      <c r="I283" s="1365"/>
    </row>
    <row r="284" spans="2:9" s="1364" customFormat="1">
      <c r="B284" s="1350"/>
      <c r="C284" s="1355" t="s">
        <v>3019</v>
      </c>
      <c r="D284" s="1343" t="s">
        <v>68</v>
      </c>
      <c r="E284" s="1343">
        <f>E283*100</f>
        <v>367</v>
      </c>
      <c r="F284" s="62"/>
      <c r="G284" s="1353">
        <f t="shared" si="28"/>
        <v>0</v>
      </c>
      <c r="I284" s="1365"/>
    </row>
    <row r="285" spans="2:9" s="1364" customFormat="1">
      <c r="B285" s="1350"/>
      <c r="C285" s="1355"/>
      <c r="D285" s="1343"/>
      <c r="E285" s="1343"/>
      <c r="F285" s="62"/>
      <c r="G285" s="1353"/>
      <c r="I285" s="1365"/>
    </row>
    <row r="286" spans="2:9" s="1364" customFormat="1">
      <c r="B286" s="1374"/>
      <c r="C286" s="1355"/>
      <c r="D286" s="1343"/>
      <c r="E286" s="1343"/>
      <c r="F286" s="62"/>
      <c r="G286" s="1353"/>
      <c r="I286" s="1365"/>
    </row>
    <row r="287" spans="2:9" s="1364" customFormat="1">
      <c r="B287" s="1350" t="s">
        <v>3022</v>
      </c>
      <c r="C287" s="1352" t="s">
        <v>3023</v>
      </c>
      <c r="D287" s="1343"/>
      <c r="E287" s="1343"/>
      <c r="F287" s="62"/>
      <c r="G287" s="1353"/>
      <c r="I287" s="1365"/>
    </row>
    <row r="288" spans="2:9" s="1364" customFormat="1">
      <c r="B288" s="1374"/>
      <c r="C288" s="1342" t="s">
        <v>3005</v>
      </c>
      <c r="D288" s="1343"/>
      <c r="E288" s="1343"/>
      <c r="F288" s="62"/>
      <c r="G288" s="1353"/>
      <c r="I288" s="1365"/>
    </row>
    <row r="289" spans="1:9" s="1364" customFormat="1" ht="76.5">
      <c r="B289" s="1374"/>
      <c r="C289" s="1355" t="s">
        <v>3024</v>
      </c>
      <c r="D289" s="1343"/>
      <c r="E289" s="1343"/>
      <c r="F289" s="62"/>
      <c r="G289" s="1353"/>
      <c r="I289" s="1365"/>
    </row>
    <row r="290" spans="1:9" s="1364" customFormat="1" ht="38.25">
      <c r="B290" s="1374"/>
      <c r="C290" s="1355" t="s">
        <v>3025</v>
      </c>
      <c r="D290" s="1343"/>
      <c r="E290" s="1343"/>
      <c r="F290" s="62"/>
      <c r="G290" s="1353"/>
      <c r="I290" s="1365"/>
    </row>
    <row r="291" spans="1:9" s="1364" customFormat="1" ht="25.5">
      <c r="B291" s="1374"/>
      <c r="C291" s="1355" t="s">
        <v>3026</v>
      </c>
      <c r="D291" s="1343"/>
      <c r="E291" s="1343"/>
      <c r="F291" s="62"/>
      <c r="G291" s="1353"/>
      <c r="I291" s="1365"/>
    </row>
    <row r="292" spans="1:9" s="1364" customFormat="1" ht="25.5">
      <c r="B292" s="1374"/>
      <c r="C292" s="1355" t="s">
        <v>3027</v>
      </c>
      <c r="D292" s="1343"/>
      <c r="E292" s="1343"/>
      <c r="F292" s="62"/>
      <c r="G292" s="1353"/>
      <c r="I292" s="1365"/>
    </row>
    <row r="293" spans="1:9" s="1364" customFormat="1" ht="14.25">
      <c r="B293" s="1350"/>
      <c r="C293" s="1613" t="s">
        <v>3028</v>
      </c>
      <c r="D293" s="1616" t="s">
        <v>5614</v>
      </c>
      <c r="E293" s="1616">
        <f>(9.85+12.98+11.86)-(3.65+1.8+1+3.5+4.65+0.95+0.95425+4.35+1+1+4.35)*0.3</f>
        <v>26.53</v>
      </c>
      <c r="F293" s="62"/>
      <c r="G293" s="1353"/>
      <c r="I293" s="1365"/>
    </row>
    <row r="294" spans="1:9" s="1364" customFormat="1" ht="14.25">
      <c r="B294" s="1354"/>
      <c r="C294" s="1376" t="s">
        <v>3029</v>
      </c>
      <c r="D294" s="1343" t="s">
        <v>2871</v>
      </c>
      <c r="E294" s="1377">
        <f>E293*0.15</f>
        <v>3.98</v>
      </c>
      <c r="F294" s="1441"/>
      <c r="G294" s="1353">
        <f t="shared" ref="G294:G296" si="29">E294*F294</f>
        <v>0</v>
      </c>
      <c r="I294" s="1368"/>
    </row>
    <row r="295" spans="1:9" s="1364" customFormat="1">
      <c r="B295" s="1354"/>
      <c r="C295" s="1376" t="s">
        <v>3030</v>
      </c>
      <c r="D295" s="1378" t="s">
        <v>3031</v>
      </c>
      <c r="E295" s="1377">
        <f>E293</f>
        <v>26.53</v>
      </c>
      <c r="F295" s="1441"/>
      <c r="G295" s="1353">
        <f t="shared" si="29"/>
        <v>0</v>
      </c>
      <c r="I295" s="1368"/>
    </row>
    <row r="296" spans="1:9" s="1364" customFormat="1">
      <c r="B296" s="1354"/>
      <c r="C296" s="1376" t="s">
        <v>3032</v>
      </c>
      <c r="D296" s="1378" t="s">
        <v>68</v>
      </c>
      <c r="E296" s="1377">
        <f>E294*65</f>
        <v>258.7</v>
      </c>
      <c r="F296" s="1441"/>
      <c r="G296" s="1353">
        <f t="shared" si="29"/>
        <v>0</v>
      </c>
      <c r="I296" s="1368"/>
    </row>
    <row r="297" spans="1:9" s="1364" customFormat="1">
      <c r="B297" s="1354"/>
      <c r="C297" s="1376"/>
      <c r="D297" s="1378"/>
      <c r="E297" s="1377"/>
      <c r="F297" s="1441"/>
      <c r="G297" s="1353"/>
      <c r="I297" s="1368"/>
    </row>
    <row r="298" spans="1:9" s="1364" customFormat="1">
      <c r="B298" s="1374"/>
      <c r="C298" s="1355"/>
      <c r="D298" s="1343"/>
      <c r="E298" s="1343"/>
      <c r="F298" s="62"/>
      <c r="G298" s="1353"/>
      <c r="I298" s="1365"/>
    </row>
    <row r="299" spans="1:9" s="1364" customFormat="1" ht="25.5">
      <c r="B299" s="1374" t="s">
        <v>3033</v>
      </c>
      <c r="C299" s="1375" t="s">
        <v>3034</v>
      </c>
      <c r="D299" s="1343"/>
      <c r="E299" s="1343"/>
      <c r="F299" s="62"/>
      <c r="G299" s="1353"/>
      <c r="I299" s="1365"/>
    </row>
    <row r="300" spans="1:9" s="1364" customFormat="1">
      <c r="B300" s="1374"/>
      <c r="C300" s="1342" t="s">
        <v>3035</v>
      </c>
      <c r="D300" s="1343"/>
      <c r="E300" s="1343"/>
      <c r="F300" s="62"/>
      <c r="G300" s="1353"/>
      <c r="I300" s="1365"/>
    </row>
    <row r="301" spans="1:9" s="1364" customFormat="1" ht="114.75">
      <c r="B301" s="1374"/>
      <c r="C301" s="1355" t="s">
        <v>3036</v>
      </c>
      <c r="D301" s="1343"/>
      <c r="E301" s="1343"/>
      <c r="F301" s="62"/>
      <c r="G301" s="1353"/>
      <c r="I301" s="1365"/>
    </row>
    <row r="302" spans="1:9" s="1364" customFormat="1" ht="38.25">
      <c r="B302" s="1374"/>
      <c r="C302" s="1355" t="s">
        <v>3037</v>
      </c>
      <c r="D302" s="1343"/>
      <c r="E302" s="1343"/>
      <c r="F302" s="62"/>
      <c r="G302" s="1353"/>
      <c r="I302" s="1365"/>
    </row>
    <row r="303" spans="1:9" s="1364" customFormat="1">
      <c r="B303" s="1374"/>
      <c r="C303" s="1345" t="s">
        <v>3038</v>
      </c>
      <c r="D303" s="1343"/>
      <c r="E303" s="1343"/>
      <c r="F303" s="62"/>
      <c r="G303" s="1353"/>
      <c r="I303" s="1365"/>
    </row>
    <row r="304" spans="1:9" s="1625" customFormat="1">
      <c r="A304" s="1622"/>
      <c r="B304" s="1623"/>
      <c r="C304" s="1379" t="s">
        <v>3039</v>
      </c>
      <c r="D304" s="1624"/>
      <c r="E304" s="1377"/>
      <c r="F304" s="1441"/>
      <c r="G304" s="1380"/>
    </row>
    <row r="305" spans="1:9" s="1625" customFormat="1" ht="25.5">
      <c r="A305" s="1622"/>
      <c r="B305" s="1623"/>
      <c r="C305" s="1355" t="s">
        <v>3040</v>
      </c>
      <c r="D305" s="1624"/>
      <c r="E305" s="1377"/>
      <c r="F305" s="1441"/>
      <c r="G305" s="1380"/>
    </row>
    <row r="306" spans="1:9" s="1364" customFormat="1" ht="38.25">
      <c r="B306" s="1350"/>
      <c r="C306" s="1375" t="s">
        <v>3041</v>
      </c>
      <c r="D306" s="1343"/>
      <c r="E306" s="1343"/>
      <c r="F306" s="62"/>
      <c r="G306" s="1353"/>
      <c r="I306" s="1365"/>
    </row>
    <row r="307" spans="1:9" s="1364" customFormat="1">
      <c r="B307" s="1350"/>
      <c r="C307" s="1352" t="s">
        <v>3042</v>
      </c>
      <c r="D307" s="1343"/>
      <c r="E307" s="1343"/>
      <c r="F307" s="62"/>
      <c r="G307" s="1353"/>
      <c r="I307" s="1365"/>
    </row>
    <row r="308" spans="1:9" s="1364" customFormat="1">
      <c r="B308" s="1350"/>
      <c r="C308" s="1352"/>
      <c r="D308" s="1343"/>
      <c r="E308" s="1343"/>
      <c r="F308" s="62"/>
      <c r="G308" s="1353"/>
      <c r="I308" s="1365"/>
    </row>
    <row r="309" spans="1:9" s="1364" customFormat="1" ht="25.5">
      <c r="B309" s="1374" t="s">
        <v>3043</v>
      </c>
      <c r="C309" s="1352" t="s">
        <v>3044</v>
      </c>
      <c r="D309" s="1343"/>
      <c r="E309" s="1343"/>
      <c r="F309" s="62"/>
      <c r="G309" s="1353"/>
      <c r="I309" s="1365"/>
    </row>
    <row r="310" spans="1:9" s="1364" customFormat="1" ht="25.5">
      <c r="B310" s="1374"/>
      <c r="C310" s="1352" t="s">
        <v>3045</v>
      </c>
      <c r="D310" s="1343"/>
      <c r="E310" s="1343"/>
      <c r="F310" s="62"/>
      <c r="G310" s="1353"/>
      <c r="I310" s="1365"/>
    </row>
    <row r="311" spans="1:9" s="1364" customFormat="1">
      <c r="B311" s="1350"/>
      <c r="C311" s="1397" t="s">
        <v>2928</v>
      </c>
      <c r="D311" s="1621" t="s">
        <v>1184</v>
      </c>
      <c r="E311" s="1621">
        <v>6</v>
      </c>
      <c r="F311" s="62"/>
      <c r="G311" s="1353"/>
      <c r="I311" s="1365"/>
    </row>
    <row r="312" spans="1:9" s="1364" customFormat="1">
      <c r="B312" s="1350"/>
      <c r="C312" s="1397" t="s">
        <v>2929</v>
      </c>
      <c r="D312" s="1621" t="s">
        <v>1184</v>
      </c>
      <c r="E312" s="1621">
        <v>8.5</v>
      </c>
      <c r="F312" s="62"/>
      <c r="G312" s="1353"/>
      <c r="I312" s="1365"/>
    </row>
    <row r="313" spans="1:9" s="1364" customFormat="1">
      <c r="B313" s="1350"/>
      <c r="C313" s="1613" t="s">
        <v>2930</v>
      </c>
      <c r="D313" s="1611" t="s">
        <v>1184</v>
      </c>
      <c r="E313" s="1611">
        <v>11</v>
      </c>
      <c r="F313" s="62"/>
      <c r="G313" s="1353"/>
      <c r="I313" s="1365"/>
    </row>
    <row r="314" spans="1:9" s="1364" customFormat="1" ht="14.25">
      <c r="B314" s="1354"/>
      <c r="C314" s="1376" t="s">
        <v>3029</v>
      </c>
      <c r="D314" s="1343" t="s">
        <v>2871</v>
      </c>
      <c r="E314" s="1377">
        <f>(E311+E312+E313)*0.25*1.25</f>
        <v>7.97</v>
      </c>
      <c r="F314" s="1441"/>
      <c r="G314" s="1353">
        <f t="shared" ref="G314:G315" si="30">E314*F314</f>
        <v>0</v>
      </c>
      <c r="I314" s="1368"/>
    </row>
    <row r="315" spans="1:9" s="1364" customFormat="1">
      <c r="B315" s="1354"/>
      <c r="C315" s="1376" t="s">
        <v>3046</v>
      </c>
      <c r="D315" s="1378" t="s">
        <v>68</v>
      </c>
      <c r="E315" s="1377">
        <f>E314*100</f>
        <v>797</v>
      </c>
      <c r="F315" s="1441"/>
      <c r="G315" s="1353">
        <f t="shared" si="30"/>
        <v>0</v>
      </c>
      <c r="I315" s="1368"/>
    </row>
    <row r="316" spans="1:9" s="1364" customFormat="1">
      <c r="B316" s="1354"/>
      <c r="C316" s="1376" t="s">
        <v>3047</v>
      </c>
      <c r="D316" s="1378" t="s">
        <v>3031</v>
      </c>
      <c r="E316" s="1377">
        <f>((E311+E312+E313)*(0.75+0.25))+(6*0.3*0.25)</f>
        <v>25.95</v>
      </c>
      <c r="F316" s="1441"/>
      <c r="G316" s="1353">
        <f>E316*F316</f>
        <v>0</v>
      </c>
      <c r="I316" s="1368"/>
    </row>
    <row r="317" spans="1:9" s="1364" customFormat="1">
      <c r="B317" s="1350"/>
      <c r="C317" s="1352"/>
      <c r="D317" s="1343"/>
      <c r="E317" s="1343"/>
      <c r="F317" s="62"/>
      <c r="G317" s="1353"/>
      <c r="I317" s="1365"/>
    </row>
    <row r="318" spans="1:9" s="1364" customFormat="1" ht="25.5">
      <c r="B318" s="1374" t="s">
        <v>3048</v>
      </c>
      <c r="C318" s="1352" t="s">
        <v>3049</v>
      </c>
      <c r="D318" s="1343"/>
      <c r="E318" s="1343"/>
      <c r="F318" s="62"/>
      <c r="G318" s="1353"/>
      <c r="I318" s="1365"/>
    </row>
    <row r="319" spans="1:9" s="1364" customFormat="1" ht="25.5">
      <c r="B319" s="1374"/>
      <c r="C319" s="1352" t="s">
        <v>3045</v>
      </c>
      <c r="D319" s="1343"/>
      <c r="E319" s="1343"/>
      <c r="F319" s="62"/>
      <c r="G319" s="1353"/>
      <c r="I319" s="1365"/>
    </row>
    <row r="320" spans="1:9" s="1364" customFormat="1">
      <c r="B320" s="1350"/>
      <c r="C320" s="1613" t="s">
        <v>2931</v>
      </c>
      <c r="D320" s="1611" t="s">
        <v>1184</v>
      </c>
      <c r="E320" s="1411">
        <v>12.75</v>
      </c>
      <c r="F320" s="62"/>
      <c r="G320" s="1353"/>
      <c r="I320" s="1365"/>
    </row>
    <row r="321" spans="2:9" s="1364" customFormat="1" ht="14.25">
      <c r="B321" s="1354"/>
      <c r="C321" s="1376" t="s">
        <v>3029</v>
      </c>
      <c r="D321" s="1343" t="s">
        <v>2871</v>
      </c>
      <c r="E321" s="1377">
        <f>(E320*0.25*0.7)+(E320*0.3*0.05)</f>
        <v>2.42</v>
      </c>
      <c r="F321" s="1441"/>
      <c r="G321" s="1353">
        <f t="shared" ref="G321:G322" si="31">E321*F321</f>
        <v>0</v>
      </c>
      <c r="I321" s="1368"/>
    </row>
    <row r="322" spans="2:9" s="1364" customFormat="1">
      <c r="B322" s="1354"/>
      <c r="C322" s="1376" t="s">
        <v>3046</v>
      </c>
      <c r="D322" s="1378" t="s">
        <v>68</v>
      </c>
      <c r="E322" s="1377">
        <f>E321*100</f>
        <v>242</v>
      </c>
      <c r="F322" s="1441"/>
      <c r="G322" s="1353">
        <f t="shared" si="31"/>
        <v>0</v>
      </c>
      <c r="I322" s="1368"/>
    </row>
    <row r="323" spans="2:9" s="1364" customFormat="1">
      <c r="B323" s="1354"/>
      <c r="C323" s="1376" t="s">
        <v>3047</v>
      </c>
      <c r="D323" s="1378" t="s">
        <v>3031</v>
      </c>
      <c r="E323" s="1377">
        <f>E320*(0.45+0.3)</f>
        <v>9.56</v>
      </c>
      <c r="F323" s="1441"/>
      <c r="G323" s="1353">
        <f>E323*F323</f>
        <v>0</v>
      </c>
      <c r="I323" s="1368"/>
    </row>
    <row r="324" spans="2:9" s="1364" customFormat="1">
      <c r="B324" s="1350"/>
      <c r="C324" s="1352"/>
      <c r="D324" s="1343"/>
      <c r="E324" s="1343"/>
      <c r="F324" s="62"/>
      <c r="G324" s="1353"/>
      <c r="I324" s="1365"/>
    </row>
    <row r="325" spans="2:9" s="1364" customFormat="1" ht="25.5">
      <c r="B325" s="1350" t="s">
        <v>3050</v>
      </c>
      <c r="C325" s="1352" t="s">
        <v>3051</v>
      </c>
      <c r="D325" s="1343"/>
      <c r="E325" s="1343"/>
      <c r="F325" s="62"/>
      <c r="G325" s="1353"/>
      <c r="I325" s="1365"/>
    </row>
    <row r="326" spans="2:9" s="1364" customFormat="1" ht="14.25">
      <c r="B326" s="1350"/>
      <c r="C326" s="1613" t="s">
        <v>3052</v>
      </c>
      <c r="D326" s="1611" t="s">
        <v>5614</v>
      </c>
      <c r="E326" s="1626">
        <f>4.5</f>
        <v>4.5</v>
      </c>
      <c r="F326" s="1438"/>
      <c r="I326" s="1365"/>
    </row>
    <row r="327" spans="2:9" s="1364" customFormat="1" ht="14.25">
      <c r="B327" s="1354"/>
      <c r="C327" s="1376" t="s">
        <v>3029</v>
      </c>
      <c r="D327" s="1343" t="s">
        <v>2871</v>
      </c>
      <c r="E327" s="1377">
        <f>E326*0.25*1.2</f>
        <v>1.35</v>
      </c>
      <c r="F327" s="1441"/>
      <c r="G327" s="1353">
        <f t="shared" ref="G327:G328" si="32">E327*F327</f>
        <v>0</v>
      </c>
      <c r="I327" s="1368"/>
    </row>
    <row r="328" spans="2:9" s="1364" customFormat="1">
      <c r="B328" s="1354"/>
      <c r="C328" s="1376" t="s">
        <v>3046</v>
      </c>
      <c r="D328" s="1378" t="s">
        <v>68</v>
      </c>
      <c r="E328" s="1377">
        <f>E327*100</f>
        <v>135</v>
      </c>
      <c r="F328" s="1441"/>
      <c r="G328" s="1353">
        <f t="shared" si="32"/>
        <v>0</v>
      </c>
      <c r="I328" s="1368"/>
    </row>
    <row r="329" spans="2:9" s="1364" customFormat="1">
      <c r="B329" s="1354"/>
      <c r="C329" s="1376" t="s">
        <v>3047</v>
      </c>
      <c r="D329" s="1378" t="s">
        <v>3031</v>
      </c>
      <c r="E329" s="1377">
        <f>E326+(0.15*1.2*8)+(0.25*3)</f>
        <v>6.69</v>
      </c>
      <c r="F329" s="1441"/>
      <c r="G329" s="1353">
        <f>E329*F329</f>
        <v>0</v>
      </c>
      <c r="I329" s="1368"/>
    </row>
    <row r="330" spans="2:9" s="1364" customFormat="1">
      <c r="B330" s="1350"/>
      <c r="C330" s="1352"/>
      <c r="D330" s="1343"/>
      <c r="E330" s="1343"/>
      <c r="F330" s="62"/>
      <c r="G330" s="1353"/>
      <c r="I330" s="1365"/>
    </row>
    <row r="331" spans="2:9" s="1364" customFormat="1" ht="25.5">
      <c r="B331" s="1374" t="s">
        <v>3053</v>
      </c>
      <c r="C331" s="1352" t="s">
        <v>3054</v>
      </c>
      <c r="D331" s="1343"/>
      <c r="E331" s="1343"/>
      <c r="F331" s="62"/>
      <c r="G331" s="1353"/>
      <c r="I331" s="1365"/>
    </row>
    <row r="332" spans="2:9" s="1364" customFormat="1">
      <c r="B332" s="1374"/>
      <c r="C332" s="1352" t="s">
        <v>3055</v>
      </c>
      <c r="D332" s="1343"/>
      <c r="E332" s="1343"/>
      <c r="F332" s="62"/>
      <c r="G332" s="1353"/>
      <c r="I332" s="1365"/>
    </row>
    <row r="333" spans="2:9" s="1364" customFormat="1">
      <c r="B333" s="1350"/>
      <c r="C333" s="1397" t="s">
        <v>3056</v>
      </c>
      <c r="D333" s="1621" t="s">
        <v>1184</v>
      </c>
      <c r="E333" s="1621">
        <v>1.8</v>
      </c>
      <c r="F333" s="62"/>
      <c r="G333" s="1353"/>
      <c r="I333" s="1365"/>
    </row>
    <row r="334" spans="2:9" s="1364" customFormat="1">
      <c r="B334" s="1350"/>
      <c r="C334" s="1613" t="s">
        <v>3057</v>
      </c>
      <c r="D334" s="1611" t="s">
        <v>1184</v>
      </c>
      <c r="E334" s="1611">
        <v>1.2</v>
      </c>
      <c r="F334" s="62"/>
      <c r="G334" s="1353"/>
      <c r="I334" s="1365"/>
    </row>
    <row r="335" spans="2:9" s="1364" customFormat="1" ht="14.25">
      <c r="B335" s="1354"/>
      <c r="C335" s="1376" t="s">
        <v>3029</v>
      </c>
      <c r="D335" s="1343" t="s">
        <v>2871</v>
      </c>
      <c r="E335" s="1377">
        <f>(E333+E334)*0.3*0.2</f>
        <v>0.18</v>
      </c>
      <c r="F335" s="1441"/>
      <c r="G335" s="1353">
        <f t="shared" ref="G335:G336" si="33">E335*F335</f>
        <v>0</v>
      </c>
      <c r="I335" s="1368"/>
    </row>
    <row r="336" spans="2:9" s="1364" customFormat="1">
      <c r="B336" s="1354"/>
      <c r="C336" s="1376" t="s">
        <v>3058</v>
      </c>
      <c r="D336" s="1378" t="s">
        <v>68</v>
      </c>
      <c r="E336" s="1377">
        <f>E335*165</f>
        <v>29.7</v>
      </c>
      <c r="F336" s="1441"/>
      <c r="G336" s="1353">
        <f t="shared" si="33"/>
        <v>0</v>
      </c>
      <c r="I336" s="1368"/>
    </row>
    <row r="337" spans="2:9" s="1364" customFormat="1">
      <c r="B337" s="1354"/>
      <c r="C337" s="1376" t="s">
        <v>3047</v>
      </c>
      <c r="D337" s="1378" t="s">
        <v>3031</v>
      </c>
      <c r="E337" s="1377">
        <f>(E333+E334)*0.3</f>
        <v>0.9</v>
      </c>
      <c r="F337" s="1441"/>
      <c r="G337" s="1353">
        <f>E337*F337</f>
        <v>0</v>
      </c>
      <c r="I337" s="1368"/>
    </row>
    <row r="338" spans="2:9" s="1364" customFormat="1">
      <c r="B338" s="1350"/>
      <c r="C338" s="1352"/>
      <c r="D338" s="1343"/>
      <c r="E338" s="1343"/>
      <c r="F338" s="62"/>
      <c r="G338" s="1353"/>
      <c r="I338" s="1365"/>
    </row>
    <row r="339" spans="2:9" s="1364" customFormat="1" ht="25.5">
      <c r="B339" s="1374" t="s">
        <v>3059</v>
      </c>
      <c r="C339" s="1352" t="s">
        <v>3060</v>
      </c>
      <c r="D339" s="1343"/>
      <c r="E339" s="1343"/>
      <c r="F339" s="62"/>
      <c r="G339" s="1353"/>
      <c r="I339" s="1365"/>
    </row>
    <row r="340" spans="2:9" s="1364" customFormat="1">
      <c r="B340" s="1374"/>
      <c r="C340" s="1352" t="s">
        <v>3061</v>
      </c>
      <c r="D340" s="1343"/>
      <c r="E340" s="1343"/>
      <c r="F340" s="62"/>
      <c r="G340" s="1353"/>
      <c r="I340" s="1365"/>
    </row>
    <row r="341" spans="2:9" s="1364" customFormat="1" ht="38.25">
      <c r="B341" s="1374"/>
      <c r="C341" s="1352" t="s">
        <v>3062</v>
      </c>
      <c r="D341" s="1343"/>
      <c r="E341" s="1343"/>
      <c r="F341" s="62"/>
      <c r="G341" s="1353"/>
      <c r="I341" s="1365"/>
    </row>
    <row r="342" spans="2:9" s="1364" customFormat="1" ht="25.5">
      <c r="B342" s="1374"/>
      <c r="C342" s="1352" t="s">
        <v>3063</v>
      </c>
      <c r="D342" s="1343"/>
      <c r="E342" s="1343"/>
      <c r="F342" s="62"/>
      <c r="G342" s="1353"/>
      <c r="I342" s="1365"/>
    </row>
    <row r="343" spans="2:9" s="1364" customFormat="1" ht="25.5">
      <c r="B343" s="1374"/>
      <c r="C343" s="1352" t="s">
        <v>3064</v>
      </c>
      <c r="D343" s="1343"/>
      <c r="E343" s="1343"/>
      <c r="F343" s="62"/>
      <c r="G343" s="1353"/>
      <c r="I343" s="1365"/>
    </row>
    <row r="344" spans="2:9" s="1364" customFormat="1">
      <c r="B344" s="1374"/>
      <c r="C344" s="1397" t="s">
        <v>3065</v>
      </c>
      <c r="D344" s="1621" t="s">
        <v>1184</v>
      </c>
      <c r="E344" s="1621">
        <f>(1.3+1.3+1.3+1.35+1.4+1.5+1.6+1.65+2.5+2.5+2.15+2)</f>
        <v>20.55</v>
      </c>
      <c r="F344" s="62"/>
      <c r="G344" s="1353"/>
      <c r="I344" s="1365"/>
    </row>
    <row r="345" spans="2:9" s="1364" customFormat="1">
      <c r="B345" s="1350"/>
      <c r="C345" s="1613" t="s">
        <v>3066</v>
      </c>
      <c r="D345" s="1611" t="s">
        <v>1184</v>
      </c>
      <c r="E345" s="1611">
        <f>(1.4+1.3+1.35+1.4+1.45+1.5+1.6+2.25+2.5+1.75)</f>
        <v>16.5</v>
      </c>
      <c r="F345" s="1438"/>
      <c r="I345" s="1365"/>
    </row>
    <row r="346" spans="2:9" s="1364" customFormat="1" ht="14.25">
      <c r="B346" s="1374"/>
      <c r="C346" s="1376" t="s">
        <v>3029</v>
      </c>
      <c r="D346" s="1343" t="s">
        <v>2871</v>
      </c>
      <c r="E346" s="1356">
        <f>(E345+E344)*0.3*0.25</f>
        <v>2.78</v>
      </c>
      <c r="F346" s="62"/>
      <c r="G346" s="1353">
        <f t="shared" ref="G346:G347" si="34">E346*F346</f>
        <v>0</v>
      </c>
      <c r="I346" s="1365"/>
    </row>
    <row r="347" spans="2:9" s="1364" customFormat="1">
      <c r="B347" s="1354"/>
      <c r="C347" s="1376" t="s">
        <v>3058</v>
      </c>
      <c r="D347" s="1378" t="s">
        <v>68</v>
      </c>
      <c r="E347" s="1377">
        <f>E346*65</f>
        <v>180.7</v>
      </c>
      <c r="F347" s="1441"/>
      <c r="G347" s="1353">
        <f t="shared" si="34"/>
        <v>0</v>
      </c>
      <c r="I347" s="1368"/>
    </row>
    <row r="348" spans="2:9" s="1364" customFormat="1">
      <c r="B348" s="1354"/>
      <c r="C348" s="1376" t="s">
        <v>3047</v>
      </c>
      <c r="D348" s="1378" t="s">
        <v>3031</v>
      </c>
      <c r="E348" s="1377">
        <f>((E345+E344)*(0.3+0.15))+(0.3*0.2*22)</f>
        <v>17.989999999999998</v>
      </c>
      <c r="F348" s="1441"/>
      <c r="G348" s="1353">
        <f>E348*F348</f>
        <v>0</v>
      </c>
      <c r="I348" s="1368"/>
    </row>
    <row r="349" spans="2:9" s="1364" customFormat="1">
      <c r="B349" s="1374"/>
      <c r="C349" s="1352"/>
      <c r="D349" s="1343"/>
      <c r="E349" s="1343"/>
      <c r="F349" s="62"/>
      <c r="G349" s="1353"/>
      <c r="I349" s="1365"/>
    </row>
    <row r="350" spans="2:9" s="1364" customFormat="1">
      <c r="B350" s="1374"/>
      <c r="C350" s="1352"/>
      <c r="D350" s="1343"/>
      <c r="E350" s="1343"/>
      <c r="F350" s="62"/>
      <c r="G350" s="1353"/>
      <c r="I350" s="1365"/>
    </row>
    <row r="351" spans="2:9" s="1364" customFormat="1" ht="25.5">
      <c r="B351" s="1374" t="s">
        <v>3067</v>
      </c>
      <c r="C351" s="1352" t="s">
        <v>3068</v>
      </c>
      <c r="D351" s="1343"/>
      <c r="E351" s="1343"/>
      <c r="F351" s="62"/>
      <c r="G351" s="1353"/>
      <c r="I351" s="1365"/>
    </row>
    <row r="352" spans="2:9" s="1364" customFormat="1">
      <c r="B352" s="1374"/>
      <c r="C352" s="1352" t="s">
        <v>3069</v>
      </c>
      <c r="D352" s="1343"/>
      <c r="E352" s="1343"/>
      <c r="F352" s="62"/>
      <c r="G352" s="1353"/>
      <c r="I352" s="1365"/>
    </row>
    <row r="353" spans="2:9" s="1364" customFormat="1" ht="25.5">
      <c r="B353" s="1374"/>
      <c r="C353" s="1397" t="s">
        <v>3070</v>
      </c>
      <c r="D353" s="1621" t="s">
        <v>34</v>
      </c>
      <c r="E353" s="1621">
        <v>22</v>
      </c>
      <c r="F353" s="62"/>
      <c r="G353" s="1353"/>
      <c r="I353" s="1365"/>
    </row>
    <row r="354" spans="2:9" s="1364" customFormat="1" ht="25.5">
      <c r="B354" s="1374"/>
      <c r="C354" s="1397" t="s">
        <v>3071</v>
      </c>
      <c r="D354" s="1621" t="s">
        <v>34</v>
      </c>
      <c r="E354" s="1621">
        <v>18</v>
      </c>
      <c r="F354" s="62"/>
      <c r="G354" s="1353"/>
      <c r="I354" s="1365"/>
    </row>
    <row r="355" spans="2:9" s="1364" customFormat="1" ht="25.5">
      <c r="B355" s="1374"/>
      <c r="C355" s="1397" t="s">
        <v>3072</v>
      </c>
      <c r="D355" s="1621" t="s">
        <v>34</v>
      </c>
      <c r="E355" s="1621">
        <v>6</v>
      </c>
      <c r="F355" s="62"/>
      <c r="G355" s="1353"/>
      <c r="I355" s="1365"/>
    </row>
    <row r="356" spans="2:9" s="1364" customFormat="1" ht="25.5">
      <c r="B356" s="1374"/>
      <c r="C356" s="1613" t="s">
        <v>3073</v>
      </c>
      <c r="D356" s="1611" t="s">
        <v>34</v>
      </c>
      <c r="E356" s="1611">
        <v>4</v>
      </c>
      <c r="F356" s="62"/>
      <c r="G356" s="1353"/>
      <c r="I356" s="1365"/>
    </row>
    <row r="357" spans="2:9" s="1364" customFormat="1" ht="14.25">
      <c r="B357" s="1354"/>
      <c r="C357" s="1376" t="s">
        <v>3029</v>
      </c>
      <c r="D357" s="1343" t="s">
        <v>2871</v>
      </c>
      <c r="E357" s="1377">
        <f>(E353+E354+E355+E356)*0.3*0.3*0.1</f>
        <v>0.45</v>
      </c>
      <c r="F357" s="1441"/>
      <c r="G357" s="1353">
        <f t="shared" ref="G357:G358" si="35">E357*F357</f>
        <v>0</v>
      </c>
      <c r="I357" s="1368"/>
    </row>
    <row r="358" spans="2:9" s="1364" customFormat="1">
      <c r="B358" s="1354"/>
      <c r="C358" s="1376" t="s">
        <v>3058</v>
      </c>
      <c r="D358" s="1378" t="s">
        <v>68</v>
      </c>
      <c r="E358" s="1377">
        <f>E357*65</f>
        <v>29.25</v>
      </c>
      <c r="F358" s="1441"/>
      <c r="G358" s="1353">
        <f t="shared" si="35"/>
        <v>0</v>
      </c>
      <c r="I358" s="1368"/>
    </row>
    <row r="359" spans="2:9" s="1364" customFormat="1">
      <c r="B359" s="1354"/>
      <c r="C359" s="1376" t="s">
        <v>3047</v>
      </c>
      <c r="D359" s="1378" t="s">
        <v>3031</v>
      </c>
      <c r="E359" s="1377">
        <f>(E355+E356+E357+E358)*0.5*0.5</f>
        <v>9.93</v>
      </c>
      <c r="F359" s="1441"/>
      <c r="G359" s="1353">
        <f>E359*F359</f>
        <v>0</v>
      </c>
      <c r="I359" s="1368"/>
    </row>
    <row r="360" spans="2:9" s="1364" customFormat="1" ht="12" customHeight="1">
      <c r="B360" s="1350"/>
      <c r="C360" s="1352"/>
      <c r="D360" s="1343"/>
      <c r="E360" s="1343"/>
      <c r="F360" s="62"/>
      <c r="G360" s="1353"/>
      <c r="I360" s="1365"/>
    </row>
    <row r="361" spans="2:9" s="1364" customFormat="1" ht="12" customHeight="1">
      <c r="B361" s="1350"/>
      <c r="C361" s="1352"/>
      <c r="D361" s="1343"/>
      <c r="E361" s="1343"/>
      <c r="F361" s="62"/>
      <c r="G361" s="1353"/>
      <c r="I361" s="1365"/>
    </row>
    <row r="362" spans="2:9" s="1364" customFormat="1" ht="25.5">
      <c r="B362" s="1350" t="s">
        <v>3074</v>
      </c>
      <c r="C362" s="1352" t="s">
        <v>3075</v>
      </c>
      <c r="D362" s="1343"/>
      <c r="E362" s="1343"/>
      <c r="F362" s="62"/>
      <c r="G362" s="1353"/>
      <c r="I362" s="1365"/>
    </row>
    <row r="363" spans="2:9" s="1364" customFormat="1" ht="76.5">
      <c r="B363" s="1350"/>
      <c r="C363" s="1375" t="s">
        <v>3076</v>
      </c>
      <c r="D363" s="1385"/>
      <c r="E363" s="1343"/>
      <c r="F363" s="62"/>
      <c r="G363" s="1353"/>
      <c r="I363" s="1365"/>
    </row>
    <row r="364" spans="2:9" s="1364" customFormat="1" ht="51">
      <c r="B364" s="1350"/>
      <c r="C364" s="1375" t="s">
        <v>3077</v>
      </c>
      <c r="D364" s="1385"/>
      <c r="E364" s="1343"/>
      <c r="F364" s="62"/>
      <c r="G364" s="1353"/>
      <c r="I364" s="1365"/>
    </row>
    <row r="365" spans="2:9" s="1364" customFormat="1" ht="25.5">
      <c r="B365" s="1374"/>
      <c r="C365" s="1352" t="s">
        <v>3078</v>
      </c>
      <c r="D365" s="1343"/>
      <c r="E365" s="1343"/>
      <c r="F365" s="62"/>
      <c r="G365" s="1353"/>
      <c r="I365" s="1365"/>
    </row>
    <row r="366" spans="2:9" s="1364" customFormat="1">
      <c r="B366" s="1350"/>
      <c r="C366" s="1352" t="s">
        <v>3079</v>
      </c>
      <c r="D366" s="1343"/>
      <c r="E366" s="1343"/>
      <c r="F366" s="62"/>
      <c r="G366" s="1353"/>
      <c r="I366" s="1365"/>
    </row>
    <row r="367" spans="2:9" ht="25.5">
      <c r="C367" s="1627" t="s">
        <v>3080</v>
      </c>
      <c r="D367" s="1611" t="s">
        <v>1184</v>
      </c>
      <c r="E367" s="1611">
        <f>20+18.5</f>
        <v>38.5</v>
      </c>
      <c r="F367" s="62"/>
      <c r="G367" s="1353"/>
    </row>
    <row r="368" spans="2:9" s="1364" customFormat="1" ht="14.25">
      <c r="B368" s="1374"/>
      <c r="C368" s="1352" t="s">
        <v>2991</v>
      </c>
      <c r="D368" s="1343" t="s">
        <v>2871</v>
      </c>
      <c r="E368" s="1356">
        <f>E367*0.2*0.2*1.2</f>
        <v>1.85</v>
      </c>
      <c r="F368" s="62"/>
      <c r="G368" s="1353">
        <f t="shared" ref="G368:G369" si="36">E368*F368</f>
        <v>0</v>
      </c>
      <c r="I368" s="1365"/>
    </row>
    <row r="369" spans="2:9" s="1364" customFormat="1">
      <c r="B369" s="1354"/>
      <c r="C369" s="1376" t="s">
        <v>3058</v>
      </c>
      <c r="D369" s="1378" t="s">
        <v>68</v>
      </c>
      <c r="E369" s="1377">
        <f>E368*65</f>
        <v>120.25</v>
      </c>
      <c r="F369" s="1441"/>
      <c r="G369" s="1353">
        <f t="shared" si="36"/>
        <v>0</v>
      </c>
      <c r="I369" s="1368"/>
    </row>
    <row r="370" spans="2:9" s="1364" customFormat="1">
      <c r="B370" s="1354"/>
      <c r="C370" s="1376" t="s">
        <v>3081</v>
      </c>
      <c r="D370" s="1378" t="s">
        <v>3031</v>
      </c>
      <c r="E370" s="1377">
        <f>E367*0.2*1.2</f>
        <v>9.24</v>
      </c>
      <c r="F370" s="1441"/>
      <c r="G370" s="1353">
        <f>E370*F370</f>
        <v>0</v>
      </c>
      <c r="I370" s="1368"/>
    </row>
    <row r="371" spans="2:9" s="1364" customFormat="1" ht="12" customHeight="1">
      <c r="B371" s="1350"/>
      <c r="C371" s="1352"/>
      <c r="D371" s="1343"/>
      <c r="E371" s="1343"/>
      <c r="F371" s="62"/>
      <c r="G371" s="1353"/>
      <c r="I371" s="1365"/>
    </row>
    <row r="372" spans="2:9" s="1364" customFormat="1">
      <c r="B372" s="1346" t="s">
        <v>980</v>
      </c>
      <c r="C372" s="1362" t="str">
        <f>"UKUPNO - "&amp;C211&amp;" (€):"</f>
        <v>UKUPNO - BETONSKI I ARMIRANO BETONSKI RADOVI (€):</v>
      </c>
      <c r="D372" s="1363"/>
      <c r="E372" s="1363"/>
      <c r="F372" s="1439"/>
      <c r="G372" s="1349">
        <f>SUM(G211:G360)</f>
        <v>0</v>
      </c>
      <c r="I372" s="1365"/>
    </row>
    <row r="373" spans="2:9" s="1364" customFormat="1">
      <c r="B373" s="1350"/>
      <c r="C373" s="1352"/>
      <c r="D373" s="1343"/>
      <c r="E373" s="1343"/>
      <c r="F373" s="62"/>
      <c r="G373" s="1353"/>
      <c r="I373" s="1365"/>
    </row>
    <row r="374" spans="2:9" s="1364" customFormat="1">
      <c r="B374" s="1350"/>
      <c r="C374" s="1352"/>
      <c r="D374" s="1343"/>
      <c r="E374" s="1343"/>
      <c r="F374" s="62"/>
      <c r="G374" s="1353"/>
      <c r="I374" s="1365"/>
    </row>
    <row r="375" spans="2:9" s="1364" customFormat="1">
      <c r="B375" s="1346" t="s">
        <v>981</v>
      </c>
      <c r="C375" s="1381" t="s">
        <v>3082</v>
      </c>
      <c r="D375" s="1348"/>
      <c r="E375" s="1348"/>
      <c r="F375" s="1440"/>
      <c r="G375" s="1349"/>
      <c r="I375" s="1365"/>
    </row>
    <row r="376" spans="2:9" s="1364" customFormat="1">
      <c r="B376" s="1350"/>
      <c r="C376" s="1382"/>
      <c r="D376" s="1343"/>
      <c r="E376" s="1343"/>
      <c r="F376" s="62"/>
      <c r="G376" s="1351"/>
      <c r="I376" s="1365"/>
    </row>
    <row r="377" spans="2:9" s="1364" customFormat="1">
      <c r="B377" s="1350"/>
      <c r="C377" s="1383"/>
      <c r="D377" s="1343"/>
      <c r="E377" s="1343"/>
      <c r="F377" s="62"/>
      <c r="G377" s="1351"/>
      <c r="I377" s="1365"/>
    </row>
    <row r="378" spans="2:9" s="1364" customFormat="1">
      <c r="B378" s="1350" t="s">
        <v>3083</v>
      </c>
      <c r="C378" s="1359" t="s">
        <v>3084</v>
      </c>
      <c r="D378" s="1385"/>
      <c r="E378" s="1343"/>
      <c r="F378" s="1438"/>
      <c r="G378" s="1353"/>
      <c r="I378" s="1365"/>
    </row>
    <row r="379" spans="2:9" s="1364" customFormat="1" ht="38.25">
      <c r="B379" s="1350"/>
      <c r="C379" s="1359" t="s">
        <v>5615</v>
      </c>
      <c r="D379" s="1385"/>
      <c r="E379" s="1343"/>
      <c r="F379" s="62"/>
      <c r="G379" s="1353"/>
      <c r="I379" s="1365"/>
    </row>
    <row r="380" spans="2:9" s="1364" customFormat="1" ht="38.25">
      <c r="B380" s="1350"/>
      <c r="C380" s="1359" t="s">
        <v>3085</v>
      </c>
      <c r="D380" s="1385"/>
      <c r="E380" s="1343"/>
      <c r="F380" s="62"/>
      <c r="G380" s="1353"/>
      <c r="I380" s="1365"/>
    </row>
    <row r="381" spans="2:9" s="1364" customFormat="1" ht="25.5">
      <c r="B381" s="1350"/>
      <c r="C381" s="1359" t="s">
        <v>3086</v>
      </c>
      <c r="D381" s="1385"/>
      <c r="E381" s="1343"/>
      <c r="F381" s="62"/>
      <c r="G381" s="1353"/>
      <c r="I381" s="1365"/>
    </row>
    <row r="382" spans="2:9" s="1364" customFormat="1">
      <c r="B382" s="1350"/>
      <c r="C382" s="1359" t="s">
        <v>3087</v>
      </c>
      <c r="D382" s="1385"/>
      <c r="E382" s="1343"/>
      <c r="F382" s="62"/>
      <c r="G382" s="1353"/>
      <c r="I382" s="1365"/>
    </row>
    <row r="383" spans="2:9" s="1364" customFormat="1">
      <c r="B383" s="1350"/>
      <c r="C383" s="1359" t="s">
        <v>3088</v>
      </c>
      <c r="D383" s="1385"/>
      <c r="E383" s="1343"/>
      <c r="F383" s="62"/>
      <c r="G383" s="1353"/>
      <c r="I383" s="1365"/>
    </row>
    <row r="384" spans="2:9" s="1364" customFormat="1">
      <c r="B384" s="1350"/>
      <c r="C384" s="1359" t="s">
        <v>3089</v>
      </c>
      <c r="D384" s="1385"/>
      <c r="E384" s="1343"/>
      <c r="F384" s="62"/>
      <c r="G384" s="1353"/>
      <c r="I384" s="1365"/>
    </row>
    <row r="385" spans="2:9" s="1364" customFormat="1">
      <c r="B385" s="1350"/>
      <c r="C385" s="1359" t="s">
        <v>5616</v>
      </c>
      <c r="D385" s="1385"/>
      <c r="E385" s="1343"/>
      <c r="F385" s="62"/>
      <c r="G385" s="1353"/>
      <c r="I385" s="1365"/>
    </row>
    <row r="386" spans="2:9" s="1364" customFormat="1">
      <c r="B386" s="1350"/>
      <c r="C386" s="1359" t="s">
        <v>3090</v>
      </c>
      <c r="D386" s="1385"/>
      <c r="E386" s="1343"/>
      <c r="F386" s="62"/>
      <c r="G386" s="1353"/>
      <c r="I386" s="1365"/>
    </row>
    <row r="387" spans="2:9" s="1364" customFormat="1">
      <c r="B387" s="1350"/>
      <c r="C387" s="1359" t="s">
        <v>3091</v>
      </c>
      <c r="D387" s="1385"/>
      <c r="E387" s="1343"/>
      <c r="F387" s="62"/>
      <c r="G387" s="1353"/>
      <c r="I387" s="1365"/>
    </row>
    <row r="388" spans="2:9" s="1364" customFormat="1">
      <c r="B388" s="1350"/>
      <c r="C388" s="1359" t="s">
        <v>3092</v>
      </c>
      <c r="D388" s="1385"/>
      <c r="E388" s="1343"/>
      <c r="F388" s="62"/>
      <c r="G388" s="1353"/>
      <c r="I388" s="1365"/>
    </row>
    <row r="389" spans="2:9" s="1364" customFormat="1" ht="38.25">
      <c r="B389" s="1350"/>
      <c r="C389" s="1359" t="s">
        <v>3093</v>
      </c>
      <c r="D389" s="1385"/>
      <c r="E389" s="1343"/>
      <c r="F389" s="62"/>
      <c r="G389" s="1353"/>
      <c r="I389" s="1365"/>
    </row>
    <row r="390" spans="2:9" s="1364" customFormat="1" ht="25.5">
      <c r="B390" s="1350"/>
      <c r="C390" s="1359" t="s">
        <v>3094</v>
      </c>
      <c r="D390" s="1385"/>
      <c r="E390" s="1343"/>
      <c r="F390" s="62"/>
      <c r="G390" s="1353"/>
      <c r="I390" s="1365"/>
    </row>
    <row r="391" spans="2:9" s="1364" customFormat="1" ht="89.25">
      <c r="B391" s="1350"/>
      <c r="C391" s="1359" t="s">
        <v>3095</v>
      </c>
      <c r="D391" s="1385"/>
      <c r="E391" s="1343"/>
      <c r="F391" s="62"/>
      <c r="G391" s="1353"/>
      <c r="I391" s="1365"/>
    </row>
    <row r="392" spans="2:9" s="1364" customFormat="1" ht="25.5">
      <c r="B392" s="1350"/>
      <c r="C392" s="1359" t="s">
        <v>3096</v>
      </c>
      <c r="D392" s="1385"/>
      <c r="E392" s="1343"/>
      <c r="F392" s="62"/>
      <c r="G392" s="1353"/>
      <c r="I392" s="1365"/>
    </row>
    <row r="393" spans="2:9" s="1364" customFormat="1" ht="25.5">
      <c r="B393" s="1350"/>
      <c r="C393" s="1345" t="s">
        <v>3097</v>
      </c>
      <c r="D393" s="1343"/>
      <c r="E393" s="1343"/>
      <c r="F393" s="62"/>
      <c r="G393" s="1351"/>
      <c r="I393" s="1365"/>
    </row>
    <row r="394" spans="2:9" s="1364" customFormat="1" ht="25.5">
      <c r="B394" s="1350"/>
      <c r="C394" s="1383" t="s">
        <v>3098</v>
      </c>
      <c r="D394" s="1343"/>
      <c r="E394" s="1343"/>
      <c r="F394" s="62"/>
      <c r="G394" s="1351"/>
      <c r="I394" s="1365"/>
    </row>
    <row r="395" spans="2:9" s="1364" customFormat="1">
      <c r="B395" s="1350"/>
      <c r="C395" s="1384" t="s">
        <v>3099</v>
      </c>
      <c r="D395" s="1385"/>
      <c r="E395" s="1343"/>
      <c r="F395" s="62"/>
      <c r="G395" s="1353"/>
      <c r="I395" s="1365"/>
    </row>
    <row r="396" spans="2:9" s="1364" customFormat="1">
      <c r="B396" s="1350"/>
      <c r="C396" s="1383" t="s">
        <v>3100</v>
      </c>
      <c r="D396" s="1343"/>
      <c r="E396" s="1343"/>
      <c r="F396" s="1438"/>
      <c r="G396" s="1351"/>
      <c r="I396" s="1365"/>
    </row>
    <row r="397" spans="2:9" s="1364" customFormat="1">
      <c r="B397" s="1350" t="s">
        <v>3101</v>
      </c>
      <c r="C397" s="1383" t="s">
        <v>3102</v>
      </c>
      <c r="D397" s="1385" t="s">
        <v>3031</v>
      </c>
      <c r="E397" s="1343">
        <v>87.11</v>
      </c>
      <c r="F397" s="62"/>
      <c r="G397" s="1353">
        <f t="shared" ref="G397:G398" si="37">E397*F397</f>
        <v>0</v>
      </c>
      <c r="I397" s="1365"/>
    </row>
    <row r="398" spans="2:9" s="1364" customFormat="1">
      <c r="B398" s="1350" t="s">
        <v>3103</v>
      </c>
      <c r="C398" s="1383" t="s">
        <v>3104</v>
      </c>
      <c r="D398" s="1385" t="s">
        <v>3031</v>
      </c>
      <c r="E398" s="1343">
        <v>57.4</v>
      </c>
      <c r="F398" s="62"/>
      <c r="G398" s="1353">
        <f t="shared" si="37"/>
        <v>0</v>
      </c>
      <c r="I398" s="1365"/>
    </row>
    <row r="399" spans="2:9" s="1364" customFormat="1">
      <c r="B399" s="1350"/>
      <c r="C399" s="1383"/>
      <c r="D399" s="1343"/>
      <c r="E399" s="1343"/>
      <c r="F399" s="62"/>
      <c r="G399" s="1353"/>
      <c r="I399" s="1365"/>
    </row>
    <row r="400" spans="2:9" s="1364" customFormat="1">
      <c r="B400" s="1350"/>
      <c r="C400" s="1383"/>
      <c r="D400" s="1343"/>
      <c r="E400" s="1343"/>
      <c r="F400" s="62"/>
      <c r="G400" s="1351"/>
      <c r="I400" s="1365"/>
    </row>
    <row r="401" spans="2:9" s="1364" customFormat="1" ht="25.5">
      <c r="B401" s="1350" t="s">
        <v>3105</v>
      </c>
      <c r="C401" s="1383" t="s">
        <v>3106</v>
      </c>
      <c r="D401" s="1343"/>
      <c r="E401" s="1343"/>
      <c r="F401" s="62"/>
      <c r="G401" s="1351"/>
      <c r="I401" s="1365"/>
    </row>
    <row r="402" spans="2:9" s="1364" customFormat="1" ht="51">
      <c r="B402" s="1350"/>
      <c r="C402" s="1375" t="s">
        <v>3107</v>
      </c>
      <c r="D402" s="1343"/>
      <c r="E402" s="1343"/>
      <c r="F402" s="62"/>
      <c r="G402" s="1351"/>
      <c r="I402" s="1365"/>
    </row>
    <row r="403" spans="2:9" s="1364" customFormat="1">
      <c r="B403" s="1350"/>
      <c r="C403" s="1375" t="s">
        <v>3108</v>
      </c>
      <c r="D403" s="1343"/>
      <c r="E403" s="1343"/>
      <c r="F403" s="62"/>
      <c r="G403" s="1351"/>
      <c r="I403" s="1365"/>
    </row>
    <row r="404" spans="2:9" s="1364" customFormat="1">
      <c r="B404" s="1350"/>
      <c r="C404" s="1375" t="s">
        <v>3109</v>
      </c>
      <c r="D404" s="1343"/>
      <c r="E404" s="1343"/>
      <c r="F404" s="62"/>
      <c r="G404" s="1351"/>
      <c r="I404" s="1365"/>
    </row>
    <row r="405" spans="2:9" s="1364" customFormat="1" ht="25.5">
      <c r="B405" s="1350"/>
      <c r="C405" s="1345" t="s">
        <v>3097</v>
      </c>
      <c r="D405" s="1343"/>
      <c r="E405" s="1343"/>
      <c r="F405" s="62"/>
      <c r="G405" s="1351"/>
      <c r="I405" s="1365"/>
    </row>
    <row r="406" spans="2:9" s="1364" customFormat="1" ht="25.5">
      <c r="B406" s="1350"/>
      <c r="C406" s="1383" t="s">
        <v>3098</v>
      </c>
      <c r="D406" s="1343"/>
      <c r="E406" s="1343"/>
      <c r="F406" s="62"/>
      <c r="G406" s="1351"/>
      <c r="I406" s="1365"/>
    </row>
    <row r="407" spans="2:9" s="1364" customFormat="1">
      <c r="B407" s="1350"/>
      <c r="C407" s="1384" t="s">
        <v>3099</v>
      </c>
      <c r="D407" s="1385"/>
      <c r="E407" s="1343"/>
      <c r="F407" s="62"/>
      <c r="G407" s="1353"/>
      <c r="I407" s="1365"/>
    </row>
    <row r="408" spans="2:9" s="1364" customFormat="1">
      <c r="B408" s="1350"/>
      <c r="C408" s="1383" t="s">
        <v>3110</v>
      </c>
      <c r="D408" s="1343"/>
      <c r="E408" s="1343"/>
      <c r="F408" s="62"/>
      <c r="G408" s="1351"/>
      <c r="I408" s="1365"/>
    </row>
    <row r="409" spans="2:9" s="1364" customFormat="1">
      <c r="B409" s="1350" t="s">
        <v>3111</v>
      </c>
      <c r="C409" s="1359" t="s">
        <v>3112</v>
      </c>
      <c r="D409" s="1385" t="s">
        <v>3031</v>
      </c>
      <c r="E409" s="1343">
        <v>85.5</v>
      </c>
      <c r="F409" s="62"/>
      <c r="G409" s="1353">
        <f t="shared" ref="G409:G410" si="38">E409*F409</f>
        <v>0</v>
      </c>
      <c r="I409" s="1365"/>
    </row>
    <row r="410" spans="2:9" s="1364" customFormat="1">
      <c r="B410" s="1350" t="s">
        <v>3113</v>
      </c>
      <c r="C410" s="1359" t="s">
        <v>3114</v>
      </c>
      <c r="D410" s="1385" t="s">
        <v>3031</v>
      </c>
      <c r="E410" s="1343">
        <f>10.9+4.9+4.53+20.7</f>
        <v>41.03</v>
      </c>
      <c r="F410" s="62"/>
      <c r="G410" s="1353">
        <f t="shared" si="38"/>
        <v>0</v>
      </c>
      <c r="I410" s="1365"/>
    </row>
    <row r="411" spans="2:9" s="1364" customFormat="1">
      <c r="B411" s="1350"/>
      <c r="C411" s="1359"/>
      <c r="D411" s="1385"/>
      <c r="E411" s="1343"/>
      <c r="F411" s="62"/>
      <c r="G411" s="1353"/>
      <c r="I411" s="1365"/>
    </row>
    <row r="412" spans="2:9" s="1364" customFormat="1">
      <c r="B412" s="1350"/>
      <c r="C412" s="1359"/>
      <c r="D412" s="1385"/>
      <c r="E412" s="1343"/>
      <c r="F412" s="62"/>
      <c r="G412" s="1353"/>
      <c r="I412" s="1365"/>
    </row>
    <row r="413" spans="2:9" s="1364" customFormat="1">
      <c r="B413" s="1350" t="s">
        <v>3115</v>
      </c>
      <c r="C413" s="1359" t="s">
        <v>3116</v>
      </c>
      <c r="D413" s="1385"/>
      <c r="E413" s="1343"/>
      <c r="F413" s="62"/>
      <c r="G413" s="1353"/>
      <c r="I413" s="1365"/>
    </row>
    <row r="414" spans="2:9" s="1364" customFormat="1" ht="51">
      <c r="B414" s="1350"/>
      <c r="C414" s="1359" t="s">
        <v>3117</v>
      </c>
      <c r="D414" s="1385"/>
      <c r="E414" s="1343"/>
      <c r="F414" s="62"/>
      <c r="G414" s="1353"/>
      <c r="I414" s="1365"/>
    </row>
    <row r="415" spans="2:9" s="1364" customFormat="1" ht="51">
      <c r="B415" s="1350"/>
      <c r="C415" s="1359" t="s">
        <v>3118</v>
      </c>
      <c r="D415" s="1385"/>
      <c r="E415" s="1343"/>
      <c r="F415" s="62"/>
      <c r="G415" s="1353"/>
      <c r="I415" s="1365"/>
    </row>
    <row r="416" spans="2:9" s="1364" customFormat="1" ht="25.5">
      <c r="B416" s="1350"/>
      <c r="C416" s="1359" t="s">
        <v>3119</v>
      </c>
      <c r="D416" s="1385"/>
      <c r="E416" s="1343"/>
      <c r="F416" s="62"/>
      <c r="G416" s="1353"/>
      <c r="I416" s="1365"/>
    </row>
    <row r="417" spans="2:9" s="1364" customFormat="1" ht="38.25">
      <c r="B417" s="1350"/>
      <c r="C417" s="1359" t="s">
        <v>3120</v>
      </c>
      <c r="D417" s="1385"/>
      <c r="E417" s="1343"/>
      <c r="F417" s="62"/>
      <c r="G417" s="1353"/>
      <c r="I417" s="1365"/>
    </row>
    <row r="418" spans="2:9" s="1364" customFormat="1" ht="25.5">
      <c r="B418" s="1350"/>
      <c r="C418" s="1359" t="s">
        <v>3121</v>
      </c>
      <c r="D418" s="1385"/>
      <c r="E418" s="1343"/>
      <c r="F418" s="62"/>
      <c r="G418" s="1353"/>
      <c r="I418" s="1365"/>
    </row>
    <row r="419" spans="2:9" s="1364" customFormat="1" ht="51">
      <c r="B419" s="1350"/>
      <c r="C419" s="1359" t="s">
        <v>3122</v>
      </c>
      <c r="D419" s="1385"/>
      <c r="E419" s="1343"/>
      <c r="F419" s="62"/>
      <c r="G419" s="1353"/>
      <c r="I419" s="1365"/>
    </row>
    <row r="420" spans="2:9" s="1364" customFormat="1" ht="25.5">
      <c r="B420" s="1350"/>
      <c r="C420" s="1359" t="s">
        <v>3123</v>
      </c>
      <c r="D420" s="1385"/>
      <c r="E420" s="1343"/>
      <c r="F420" s="62"/>
      <c r="G420" s="1353"/>
      <c r="I420" s="1365"/>
    </row>
    <row r="421" spans="2:9" s="1364" customFormat="1" ht="38.25">
      <c r="B421" s="1350"/>
      <c r="C421" s="1359" t="s">
        <v>3124</v>
      </c>
      <c r="D421" s="1385"/>
      <c r="E421" s="1343"/>
      <c r="F421" s="62"/>
      <c r="G421" s="1353"/>
      <c r="I421" s="1365"/>
    </row>
    <row r="422" spans="2:9" s="1364" customFormat="1">
      <c r="B422" s="1350"/>
      <c r="C422" s="1359" t="s">
        <v>3125</v>
      </c>
      <c r="D422" s="1385"/>
      <c r="E422" s="1343"/>
      <c r="F422" s="62"/>
      <c r="G422" s="1353"/>
      <c r="I422" s="1365"/>
    </row>
    <row r="423" spans="2:9" s="1364" customFormat="1">
      <c r="B423" s="1350"/>
      <c r="C423" s="1359" t="s">
        <v>3126</v>
      </c>
      <c r="D423" s="1385" t="s">
        <v>3031</v>
      </c>
      <c r="E423" s="1343">
        <v>47.51</v>
      </c>
      <c r="F423" s="62"/>
      <c r="G423" s="1353">
        <f t="shared" ref="G423" si="39">E423*F423</f>
        <v>0</v>
      </c>
      <c r="I423" s="1365"/>
    </row>
    <row r="424" spans="2:9" s="1364" customFormat="1">
      <c r="B424" s="1350"/>
      <c r="C424" s="1359"/>
      <c r="D424" s="1385"/>
      <c r="E424" s="1343"/>
      <c r="F424" s="62"/>
      <c r="G424" s="1353"/>
      <c r="I424" s="1365"/>
    </row>
    <row r="425" spans="2:9" s="1364" customFormat="1">
      <c r="B425" s="1350"/>
      <c r="C425" s="1359"/>
      <c r="D425" s="1385"/>
      <c r="E425" s="1343"/>
      <c r="F425" s="62"/>
      <c r="G425" s="1353"/>
      <c r="I425" s="1365"/>
    </row>
    <row r="426" spans="2:9" s="1364" customFormat="1">
      <c r="B426" s="1350" t="s">
        <v>3127</v>
      </c>
      <c r="C426" s="1359" t="s">
        <v>3128</v>
      </c>
      <c r="D426" s="1385"/>
      <c r="E426" s="1343"/>
      <c r="F426" s="62"/>
      <c r="G426" s="1353"/>
      <c r="I426" s="1365"/>
    </row>
    <row r="427" spans="2:9" s="1364" customFormat="1">
      <c r="B427" s="1350"/>
      <c r="C427" s="1386" t="s">
        <v>3129</v>
      </c>
      <c r="D427" s="1385"/>
      <c r="E427" s="1343"/>
      <c r="F427" s="62"/>
      <c r="G427" s="1353"/>
      <c r="I427" s="1365"/>
    </row>
    <row r="428" spans="2:9" s="1364" customFormat="1" ht="38.25">
      <c r="B428" s="1350"/>
      <c r="C428" s="1359" t="s">
        <v>3130</v>
      </c>
      <c r="D428" s="1385"/>
      <c r="E428" s="1343"/>
      <c r="F428" s="62"/>
      <c r="G428" s="1353"/>
      <c r="I428" s="1365"/>
    </row>
    <row r="429" spans="2:9" s="1364" customFormat="1">
      <c r="B429" s="1350"/>
      <c r="C429" s="1359" t="s">
        <v>3131</v>
      </c>
      <c r="D429" s="1385"/>
      <c r="E429" s="1343"/>
      <c r="F429" s="62"/>
      <c r="G429" s="1353"/>
      <c r="I429" s="1365"/>
    </row>
    <row r="430" spans="2:9" s="1364" customFormat="1" ht="25.5">
      <c r="B430" s="1350"/>
      <c r="C430" s="1359" t="s">
        <v>3132</v>
      </c>
      <c r="D430" s="1385"/>
      <c r="E430" s="1343"/>
      <c r="F430" s="62"/>
      <c r="G430" s="1353"/>
      <c r="I430" s="1365"/>
    </row>
    <row r="431" spans="2:9" s="1364" customFormat="1">
      <c r="B431" s="1350"/>
      <c r="C431" s="1359" t="s">
        <v>3133</v>
      </c>
      <c r="D431" s="1385"/>
      <c r="E431" s="1343"/>
      <c r="F431" s="62"/>
      <c r="G431" s="1353"/>
      <c r="I431" s="1365"/>
    </row>
    <row r="432" spans="2:9" s="1364" customFormat="1">
      <c r="B432" s="1350"/>
      <c r="C432" s="1359" t="s">
        <v>2824</v>
      </c>
      <c r="D432" s="1385"/>
      <c r="E432" s="1343"/>
      <c r="F432" s="62"/>
      <c r="G432" s="1353"/>
      <c r="I432" s="1365"/>
    </row>
    <row r="433" spans="2:10" s="1364" customFormat="1" ht="13.5" thickBot="1">
      <c r="B433" s="1350"/>
      <c r="C433" s="1359" t="s">
        <v>3134</v>
      </c>
      <c r="D433" s="1385"/>
      <c r="E433" s="1343"/>
      <c r="F433" s="1438"/>
      <c r="G433" s="1353"/>
      <c r="I433" s="1365"/>
    </row>
    <row r="434" spans="2:10" s="1364" customFormat="1" ht="15.75" thickBot="1">
      <c r="B434" s="1350"/>
      <c r="C434" s="1628" t="s">
        <v>3135</v>
      </c>
      <c r="D434" s="1629"/>
      <c r="E434" s="1621"/>
      <c r="F434" s="1630"/>
      <c r="G434" s="1353"/>
      <c r="I434" s="1365"/>
      <c r="J434" s="1631"/>
    </row>
    <row r="435" spans="2:10" s="1364" customFormat="1">
      <c r="B435" s="1350"/>
      <c r="C435" s="1632" t="s">
        <v>3136</v>
      </c>
      <c r="D435" s="1629" t="s">
        <v>1184</v>
      </c>
      <c r="E435" s="1621">
        <v>29.55</v>
      </c>
      <c r="F435" s="62"/>
      <c r="G435" s="1353"/>
      <c r="I435" s="1365"/>
    </row>
    <row r="436" spans="2:10" s="1364" customFormat="1">
      <c r="B436" s="1350"/>
      <c r="C436" s="1632" t="s">
        <v>3137</v>
      </c>
      <c r="D436" s="1629" t="s">
        <v>1184</v>
      </c>
      <c r="E436" s="1621">
        <v>10.65</v>
      </c>
      <c r="F436" s="62"/>
      <c r="G436" s="1353"/>
      <c r="I436" s="1365"/>
    </row>
    <row r="437" spans="2:10" s="1364" customFormat="1">
      <c r="B437" s="1350"/>
      <c r="C437" s="1632" t="s">
        <v>3138</v>
      </c>
      <c r="D437" s="1629" t="s">
        <v>1184</v>
      </c>
      <c r="E437" s="1621">
        <v>32.549999999999997</v>
      </c>
      <c r="F437" s="62"/>
      <c r="G437" s="1353"/>
      <c r="I437" s="1365"/>
    </row>
    <row r="438" spans="2:10" s="1364" customFormat="1">
      <c r="B438" s="1350"/>
      <c r="C438" s="1632" t="s">
        <v>3139</v>
      </c>
      <c r="D438" s="1629" t="s">
        <v>1184</v>
      </c>
      <c r="E438" s="1621">
        <v>16.2</v>
      </c>
      <c r="F438" s="62"/>
      <c r="G438" s="1353"/>
      <c r="I438" s="1365"/>
    </row>
    <row r="439" spans="2:10" s="1364" customFormat="1">
      <c r="B439" s="1350"/>
      <c r="C439" s="1632" t="s">
        <v>3140</v>
      </c>
      <c r="D439" s="1629" t="s">
        <v>1184</v>
      </c>
      <c r="E439" s="1621">
        <v>15.8</v>
      </c>
      <c r="F439" s="62"/>
      <c r="G439" s="1353"/>
      <c r="I439" s="1365"/>
    </row>
    <row r="440" spans="2:10" s="1364" customFormat="1">
      <c r="B440" s="1350"/>
      <c r="C440" s="1633" t="s">
        <v>3141</v>
      </c>
      <c r="D440" s="1634" t="s">
        <v>1184</v>
      </c>
      <c r="E440" s="1611">
        <v>36.950000000000003</v>
      </c>
      <c r="F440" s="62"/>
      <c r="G440" s="1353"/>
      <c r="I440" s="1365"/>
    </row>
    <row r="441" spans="2:10" s="1364" customFormat="1">
      <c r="B441" s="1350"/>
      <c r="C441" s="1628" t="s">
        <v>3142</v>
      </c>
      <c r="D441" s="1629"/>
      <c r="E441" s="1621"/>
      <c r="F441" s="62"/>
      <c r="G441" s="1353"/>
      <c r="I441" s="1365"/>
    </row>
    <row r="442" spans="2:10" s="1364" customFormat="1">
      <c r="B442" s="1350"/>
      <c r="C442" s="1632" t="s">
        <v>3138</v>
      </c>
      <c r="D442" s="1629" t="s">
        <v>1184</v>
      </c>
      <c r="E442" s="1621">
        <v>21.5</v>
      </c>
      <c r="F442" s="62"/>
      <c r="G442" s="1353"/>
      <c r="I442" s="1365"/>
    </row>
    <row r="443" spans="2:10" s="1364" customFormat="1">
      <c r="B443" s="1350"/>
      <c r="C443" s="1633" t="s">
        <v>3141</v>
      </c>
      <c r="D443" s="1634" t="s">
        <v>1184</v>
      </c>
      <c r="E443" s="1611">
        <v>21.55</v>
      </c>
      <c r="F443" s="62"/>
      <c r="G443" s="1353"/>
      <c r="I443" s="1365"/>
    </row>
    <row r="444" spans="2:10" s="1364" customFormat="1">
      <c r="B444" s="1350"/>
      <c r="C444" s="1628" t="s">
        <v>3143</v>
      </c>
      <c r="D444" s="1629"/>
      <c r="E444" s="1621"/>
      <c r="F444" s="62"/>
      <c r="G444" s="1353"/>
      <c r="I444" s="1365"/>
    </row>
    <row r="445" spans="2:10" s="1364" customFormat="1">
      <c r="B445" s="1350"/>
      <c r="C445" s="1628" t="s">
        <v>3144</v>
      </c>
      <c r="D445" s="1629" t="s">
        <v>1184</v>
      </c>
      <c r="E445" s="1621">
        <f>8.8+10.2</f>
        <v>19</v>
      </c>
      <c r="F445" s="62"/>
      <c r="G445" s="1353"/>
      <c r="I445" s="1365"/>
    </row>
    <row r="446" spans="2:10" s="1364" customFormat="1">
      <c r="B446" s="1350"/>
      <c r="C446" s="1632" t="s">
        <v>3145</v>
      </c>
      <c r="D446" s="1629" t="s">
        <v>1184</v>
      </c>
      <c r="E446" s="1621">
        <f>9.6+12</f>
        <v>21.6</v>
      </c>
      <c r="F446" s="62"/>
      <c r="G446" s="1353"/>
      <c r="I446" s="1365"/>
    </row>
    <row r="447" spans="2:10" s="1364" customFormat="1">
      <c r="B447" s="1350"/>
      <c r="C447" s="1632" t="s">
        <v>3146</v>
      </c>
      <c r="D447" s="1629" t="s">
        <v>1184</v>
      </c>
      <c r="E447" s="1621">
        <v>20.2</v>
      </c>
      <c r="F447" s="62"/>
      <c r="G447" s="1353"/>
      <c r="I447" s="1365"/>
    </row>
    <row r="448" spans="2:10" s="1364" customFormat="1">
      <c r="B448" s="1350"/>
      <c r="C448" s="1633" t="s">
        <v>3147</v>
      </c>
      <c r="D448" s="1634" t="s">
        <v>1184</v>
      </c>
      <c r="E448" s="1611">
        <v>17.850000000000001</v>
      </c>
      <c r="F448" s="62"/>
      <c r="G448" s="1353"/>
      <c r="I448" s="1365"/>
    </row>
    <row r="449" spans="2:9" s="1364" customFormat="1">
      <c r="B449" s="1350"/>
      <c r="C449" s="1632" t="s">
        <v>3148</v>
      </c>
      <c r="D449" s="1629" t="s">
        <v>1184</v>
      </c>
      <c r="E449" s="1621">
        <f>11+6.35</f>
        <v>17.350000000000001</v>
      </c>
      <c r="F449" s="62"/>
      <c r="G449" s="1353"/>
      <c r="I449" s="1365"/>
    </row>
    <row r="450" spans="2:9" s="1364" customFormat="1" ht="13.5" thickBot="1">
      <c r="B450" s="1350"/>
      <c r="C450" s="1635" t="s">
        <v>3149</v>
      </c>
      <c r="D450" s="1636" t="s">
        <v>1184</v>
      </c>
      <c r="E450" s="1637">
        <f>9.65+11.8</f>
        <v>21.45</v>
      </c>
      <c r="F450" s="62"/>
      <c r="G450" s="1353"/>
      <c r="I450" s="1365"/>
    </row>
    <row r="451" spans="2:9" s="1364" customFormat="1" ht="13.5" thickTop="1">
      <c r="B451" s="1350"/>
      <c r="C451" s="1359" t="s">
        <v>3150</v>
      </c>
      <c r="D451" s="1385" t="s">
        <v>1184</v>
      </c>
      <c r="E451" s="1343">
        <f>SUM(E435:E450)</f>
        <v>302.2</v>
      </c>
      <c r="F451" s="62"/>
      <c r="G451" s="1353">
        <f t="shared" ref="G451" si="40">E451*F451</f>
        <v>0</v>
      </c>
      <c r="I451" s="1365"/>
    </row>
    <row r="452" spans="2:9" s="1364" customFormat="1">
      <c r="B452" s="1350"/>
      <c r="C452" s="1359"/>
      <c r="D452" s="1385"/>
      <c r="E452" s="1343"/>
      <c r="F452" s="62"/>
      <c r="G452" s="1353"/>
      <c r="I452" s="1365"/>
    </row>
    <row r="453" spans="2:9" s="1364" customFormat="1">
      <c r="B453" s="1350"/>
      <c r="C453" s="1383"/>
      <c r="D453" s="1343"/>
      <c r="E453" s="1343"/>
      <c r="F453" s="62"/>
      <c r="G453" s="1351"/>
      <c r="I453" s="1365"/>
    </row>
    <row r="454" spans="2:9" s="1364" customFormat="1">
      <c r="B454" s="1346"/>
      <c r="C454" s="1387" t="str">
        <f>"UKUPNO - "&amp;C375&amp;" (€):"</f>
        <v>UKUPNO - OPLOČENJE (€):</v>
      </c>
      <c r="D454" s="1363"/>
      <c r="E454" s="1363"/>
      <c r="F454" s="1439"/>
      <c r="G454" s="1349">
        <f>SUM(G376:G452)</f>
        <v>0</v>
      </c>
      <c r="I454" s="1365"/>
    </row>
    <row r="455" spans="2:9" s="1364" customFormat="1">
      <c r="B455" s="1350"/>
      <c r="C455" s="1342"/>
      <c r="D455" s="1343"/>
      <c r="E455" s="1343"/>
      <c r="F455" s="62"/>
      <c r="G455" s="1351"/>
      <c r="I455" s="1365"/>
    </row>
    <row r="456" spans="2:9">
      <c r="B456" s="1346" t="s">
        <v>982</v>
      </c>
      <c r="C456" s="1347" t="s">
        <v>3151</v>
      </c>
      <c r="D456" s="1348"/>
      <c r="E456" s="1348"/>
      <c r="F456" s="1440"/>
      <c r="G456" s="1349"/>
    </row>
    <row r="457" spans="2:9" s="1364" customFormat="1">
      <c r="B457" s="1350"/>
      <c r="C457" s="1342"/>
      <c r="D457" s="1343"/>
      <c r="E457" s="1343"/>
      <c r="F457" s="62"/>
      <c r="G457" s="1351"/>
      <c r="I457" s="1365"/>
    </row>
    <row r="458" spans="2:9" s="1364" customFormat="1">
      <c r="B458" s="1350"/>
      <c r="C458" s="1383"/>
      <c r="D458" s="1343"/>
      <c r="E458" s="1343"/>
      <c r="F458" s="62"/>
      <c r="G458" s="1351"/>
      <c r="I458" s="1365"/>
    </row>
    <row r="459" spans="2:9" ht="25.5">
      <c r="B459" s="1350" t="s">
        <v>3152</v>
      </c>
      <c r="C459" s="1383" t="s">
        <v>3153</v>
      </c>
      <c r="D459" s="1385"/>
      <c r="F459" s="62"/>
      <c r="G459" s="1353"/>
    </row>
    <row r="460" spans="2:9" ht="51">
      <c r="C460" s="1383" t="s">
        <v>3154</v>
      </c>
      <c r="D460" s="1385"/>
      <c r="F460" s="62"/>
      <c r="G460" s="1353"/>
    </row>
    <row r="461" spans="2:9">
      <c r="C461" s="1383"/>
      <c r="D461" s="1385" t="s">
        <v>3031</v>
      </c>
      <c r="E461" s="1343">
        <f>10.45*1.5</f>
        <v>15.68</v>
      </c>
      <c r="F461" s="62"/>
      <c r="G461" s="1353">
        <f>E461*F461</f>
        <v>0</v>
      </c>
    </row>
    <row r="462" spans="2:9">
      <c r="C462" s="1383"/>
      <c r="D462" s="1385"/>
      <c r="F462" s="62"/>
      <c r="G462" s="1353"/>
    </row>
    <row r="463" spans="2:9">
      <c r="C463" s="1383"/>
      <c r="D463" s="1385"/>
      <c r="F463" s="62"/>
      <c r="G463" s="1353"/>
    </row>
    <row r="464" spans="2:9" s="1364" customFormat="1" ht="38.25">
      <c r="B464" s="1350" t="s">
        <v>3155</v>
      </c>
      <c r="C464" s="1355" t="s">
        <v>3156</v>
      </c>
      <c r="D464" s="1343"/>
      <c r="E464" s="1343"/>
      <c r="F464" s="62"/>
      <c r="G464" s="1351"/>
      <c r="I464" s="1365"/>
    </row>
    <row r="465" spans="2:9" s="1364" customFormat="1" ht="38.25">
      <c r="B465" s="1350"/>
      <c r="C465" s="1352" t="s">
        <v>3157</v>
      </c>
      <c r="D465" s="1343"/>
      <c r="E465" s="1343"/>
      <c r="F465" s="62"/>
      <c r="G465" s="1351"/>
      <c r="I465" s="1365"/>
    </row>
    <row r="466" spans="2:9" s="1364" customFormat="1" ht="38.25">
      <c r="B466" s="1350"/>
      <c r="C466" s="1352" t="s">
        <v>3158</v>
      </c>
      <c r="D466" s="1343"/>
      <c r="E466" s="1343"/>
      <c r="F466" s="62"/>
      <c r="G466" s="1351"/>
      <c r="I466" s="1365"/>
    </row>
    <row r="467" spans="2:9" s="1364" customFormat="1" ht="25.5">
      <c r="B467" s="1350"/>
      <c r="C467" s="1352" t="s">
        <v>3159</v>
      </c>
      <c r="D467" s="1343"/>
      <c r="E467" s="1343"/>
      <c r="F467" s="62"/>
      <c r="G467" s="1351"/>
      <c r="I467" s="1365"/>
    </row>
    <row r="468" spans="2:9" s="1364" customFormat="1">
      <c r="B468" s="1350"/>
      <c r="C468" s="1359" t="s">
        <v>3125</v>
      </c>
      <c r="D468" s="1385"/>
      <c r="E468" s="1343"/>
      <c r="F468" s="62"/>
      <c r="G468" s="1353"/>
      <c r="I468" s="1365"/>
    </row>
    <row r="469" spans="2:9" s="1364" customFormat="1">
      <c r="B469" s="1350"/>
      <c r="C469" s="1359" t="s">
        <v>3160</v>
      </c>
      <c r="D469" s="1356"/>
      <c r="E469" s="1356"/>
      <c r="F469" s="1438"/>
      <c r="I469" s="1365"/>
    </row>
    <row r="470" spans="2:9" s="1364" customFormat="1">
      <c r="B470" s="1350" t="s">
        <v>3161</v>
      </c>
      <c r="C470" s="1359" t="s">
        <v>3162</v>
      </c>
      <c r="D470" s="1356"/>
      <c r="E470" s="1356"/>
      <c r="F470" s="1438"/>
      <c r="I470" s="1365"/>
    </row>
    <row r="471" spans="2:9" s="1364" customFormat="1">
      <c r="B471" s="1350"/>
      <c r="C471" s="1638" t="s">
        <v>3163</v>
      </c>
      <c r="D471" s="1634" t="s">
        <v>3031</v>
      </c>
      <c r="E471" s="1611">
        <v>10.35</v>
      </c>
      <c r="F471" s="62"/>
      <c r="G471" s="1353"/>
      <c r="I471" s="1365"/>
    </row>
    <row r="472" spans="2:9" s="1364" customFormat="1">
      <c r="B472" s="1350"/>
      <c r="C472" s="1359"/>
      <c r="D472" s="1385" t="s">
        <v>3031</v>
      </c>
      <c r="E472" s="1343">
        <f>E471</f>
        <v>10.35</v>
      </c>
      <c r="F472" s="62"/>
      <c r="G472" s="1353">
        <f t="shared" ref="G472" si="41">E472*F472</f>
        <v>0</v>
      </c>
      <c r="I472" s="1365"/>
    </row>
    <row r="473" spans="2:9" s="1364" customFormat="1">
      <c r="B473" s="1350" t="s">
        <v>3164</v>
      </c>
      <c r="C473" s="1359" t="s">
        <v>3165</v>
      </c>
      <c r="D473" s="1356"/>
      <c r="E473" s="1356"/>
      <c r="F473" s="1438"/>
      <c r="I473" s="1365"/>
    </row>
    <row r="474" spans="2:9" s="1364" customFormat="1" ht="25.5">
      <c r="B474" s="1350"/>
      <c r="C474" s="1352" t="s">
        <v>3166</v>
      </c>
      <c r="D474" s="1343"/>
      <c r="E474" s="1343"/>
      <c r="F474" s="62"/>
      <c r="G474" s="1351"/>
      <c r="I474" s="1365"/>
    </row>
    <row r="475" spans="2:9" s="1364" customFormat="1">
      <c r="B475" s="1350"/>
      <c r="C475" s="1397" t="s">
        <v>3167</v>
      </c>
      <c r="D475" s="1629" t="s">
        <v>3031</v>
      </c>
      <c r="E475" s="1621">
        <v>4.0999999999999996</v>
      </c>
      <c r="F475" s="62"/>
      <c r="G475" s="1351"/>
      <c r="I475" s="1365"/>
    </row>
    <row r="476" spans="2:9" s="1364" customFormat="1">
      <c r="B476" s="1350"/>
      <c r="C476" s="1613" t="s">
        <v>3168</v>
      </c>
      <c r="D476" s="1634" t="s">
        <v>3031</v>
      </c>
      <c r="E476" s="1611">
        <v>6.25</v>
      </c>
      <c r="F476" s="62"/>
      <c r="G476" s="1351"/>
      <c r="I476" s="1365"/>
    </row>
    <row r="477" spans="2:9" s="1364" customFormat="1">
      <c r="B477" s="1350"/>
      <c r="C477" s="1352"/>
      <c r="D477" s="1385" t="s">
        <v>3031</v>
      </c>
      <c r="E477" s="1343">
        <f>(E475+E476)*1.4*1.2</f>
        <v>17.39</v>
      </c>
      <c r="F477" s="62"/>
      <c r="G477" s="1353">
        <f t="shared" ref="G477" si="42">E477*F477</f>
        <v>0</v>
      </c>
      <c r="I477" s="1365"/>
    </row>
    <row r="478" spans="2:9" s="1364" customFormat="1">
      <c r="B478" s="1350"/>
      <c r="C478" s="1352"/>
      <c r="D478" s="1385"/>
      <c r="E478" s="1343"/>
      <c r="F478" s="62"/>
      <c r="G478" s="1353"/>
      <c r="I478" s="1365"/>
    </row>
    <row r="479" spans="2:9" s="1364" customFormat="1">
      <c r="B479" s="1350"/>
      <c r="C479" s="1352"/>
      <c r="D479" s="1343"/>
      <c r="E479" s="1343"/>
      <c r="F479" s="62"/>
      <c r="G479" s="1351"/>
      <c r="I479" s="1365"/>
    </row>
    <row r="480" spans="2:9" s="1364" customFormat="1" ht="25.5">
      <c r="B480" s="1350" t="s">
        <v>3169</v>
      </c>
      <c r="C480" s="1352" t="s">
        <v>3170</v>
      </c>
      <c r="D480" s="1343"/>
      <c r="E480" s="1343"/>
      <c r="F480" s="62"/>
      <c r="G480" s="1351"/>
      <c r="I480" s="1365"/>
    </row>
    <row r="481" spans="2:9" s="1364" customFormat="1" ht="25.5">
      <c r="B481" s="1350"/>
      <c r="C481" s="1352" t="s">
        <v>3171</v>
      </c>
      <c r="D481" s="1343"/>
      <c r="E481" s="1343"/>
      <c r="F481" s="62"/>
      <c r="G481" s="1351"/>
      <c r="I481" s="1365"/>
    </row>
    <row r="482" spans="2:9" s="1364" customFormat="1" ht="25.5">
      <c r="B482" s="1350"/>
      <c r="C482" s="1352" t="s">
        <v>3172</v>
      </c>
      <c r="D482" s="1343"/>
      <c r="E482" s="1343"/>
      <c r="F482" s="62"/>
      <c r="G482" s="1351"/>
      <c r="I482" s="1365"/>
    </row>
    <row r="483" spans="2:9" s="1364" customFormat="1" ht="25.5">
      <c r="B483" s="1350"/>
      <c r="C483" s="1352" t="s">
        <v>3159</v>
      </c>
      <c r="D483" s="1343"/>
      <c r="E483" s="1343"/>
      <c r="F483" s="62"/>
      <c r="G483" s="1351"/>
      <c r="I483" s="1365"/>
    </row>
    <row r="484" spans="2:9" s="1364" customFormat="1">
      <c r="B484" s="1350"/>
      <c r="C484" s="1359" t="s">
        <v>3125</v>
      </c>
      <c r="D484" s="1385"/>
      <c r="E484" s="1343"/>
      <c r="F484" s="62"/>
      <c r="G484" s="1353"/>
      <c r="I484" s="1365"/>
    </row>
    <row r="485" spans="2:9" s="1364" customFormat="1">
      <c r="B485" s="1350"/>
      <c r="C485" s="1359" t="s">
        <v>3160</v>
      </c>
      <c r="D485" s="1356"/>
      <c r="E485" s="1356"/>
      <c r="F485" s="1438"/>
      <c r="I485" s="1365"/>
    </row>
    <row r="486" spans="2:9" s="1364" customFormat="1">
      <c r="B486" s="1350" t="s">
        <v>3173</v>
      </c>
      <c r="C486" s="1386" t="s">
        <v>3174</v>
      </c>
      <c r="D486" s="1388"/>
      <c r="E486" s="1343"/>
      <c r="F486" s="1438"/>
      <c r="I486" s="1365"/>
    </row>
    <row r="487" spans="2:9" s="1364" customFormat="1">
      <c r="B487" s="1350"/>
      <c r="C487" s="1632" t="s">
        <v>3175</v>
      </c>
      <c r="D487" s="1629" t="s">
        <v>3031</v>
      </c>
      <c r="E487" s="1621">
        <v>8.1999999999999993</v>
      </c>
      <c r="F487" s="62"/>
      <c r="G487" s="1353"/>
      <c r="I487" s="1365"/>
    </row>
    <row r="488" spans="2:9" s="1364" customFormat="1">
      <c r="B488" s="1350"/>
      <c r="C488" s="1632" t="s">
        <v>3176</v>
      </c>
      <c r="D488" s="1629" t="s">
        <v>3031</v>
      </c>
      <c r="E488" s="1621">
        <f>8.2*1.5</f>
        <v>12.3</v>
      </c>
      <c r="F488" s="62"/>
      <c r="G488" s="1353"/>
      <c r="I488" s="1365"/>
    </row>
    <row r="489" spans="2:9" s="1364" customFormat="1">
      <c r="B489" s="1350"/>
      <c r="C489" s="1632" t="s">
        <v>3177</v>
      </c>
      <c r="D489" s="1629" t="s">
        <v>3031</v>
      </c>
      <c r="E489" s="1621">
        <v>8</v>
      </c>
      <c r="F489" s="62"/>
      <c r="G489" s="1353"/>
      <c r="I489" s="1365"/>
    </row>
    <row r="490" spans="2:9" s="1364" customFormat="1">
      <c r="B490" s="1350"/>
      <c r="C490" s="1633" t="s">
        <v>3178</v>
      </c>
      <c r="D490" s="1634" t="s">
        <v>3031</v>
      </c>
      <c r="E490" s="1611">
        <f>8*1.5</f>
        <v>12</v>
      </c>
      <c r="F490" s="1438"/>
      <c r="I490" s="1365"/>
    </row>
    <row r="491" spans="2:9" s="1364" customFormat="1">
      <c r="B491" s="1358"/>
      <c r="C491" s="1352"/>
      <c r="D491" s="1385" t="s">
        <v>3031</v>
      </c>
      <c r="E491" s="1343">
        <f>SUM(E487:E490)</f>
        <v>40.5</v>
      </c>
      <c r="F491" s="62"/>
      <c r="G491" s="1353">
        <f>E491*F491</f>
        <v>0</v>
      </c>
      <c r="I491" s="1365"/>
    </row>
    <row r="492" spans="2:9" s="1364" customFormat="1">
      <c r="B492" s="1358"/>
      <c r="C492" s="1352"/>
      <c r="D492" s="1385"/>
      <c r="E492" s="1343"/>
      <c r="F492" s="62"/>
      <c r="G492" s="1353"/>
      <c r="I492" s="1365"/>
    </row>
    <row r="493" spans="2:9" s="1364" customFormat="1" ht="25.5">
      <c r="B493" s="1350" t="s">
        <v>3179</v>
      </c>
      <c r="C493" s="1352" t="s">
        <v>3180</v>
      </c>
      <c r="D493" s="1343"/>
      <c r="E493" s="1343"/>
      <c r="F493" s="62"/>
      <c r="G493" s="1351"/>
      <c r="I493" s="1365"/>
    </row>
    <row r="494" spans="2:9" s="1364" customFormat="1">
      <c r="B494" s="1350"/>
      <c r="C494" s="1352" t="s">
        <v>3181</v>
      </c>
      <c r="D494" s="1343"/>
      <c r="E494" s="1343"/>
      <c r="F494" s="62"/>
      <c r="G494" s="1351"/>
      <c r="I494" s="1365"/>
    </row>
    <row r="495" spans="2:9" s="1364" customFormat="1">
      <c r="B495" s="1350"/>
      <c r="C495" s="1397" t="s">
        <v>3182</v>
      </c>
      <c r="D495" s="1629" t="s">
        <v>3031</v>
      </c>
      <c r="E495" s="1621">
        <v>3</v>
      </c>
      <c r="F495" s="62"/>
      <c r="G495" s="1351"/>
      <c r="I495" s="1365"/>
    </row>
    <row r="496" spans="2:9" s="1364" customFormat="1">
      <c r="B496" s="1350"/>
      <c r="C496" s="1397" t="s">
        <v>3183</v>
      </c>
      <c r="D496" s="1629" t="s">
        <v>3031</v>
      </c>
      <c r="E496" s="1621">
        <f>7.8*4.5</f>
        <v>35.1</v>
      </c>
      <c r="F496" s="62"/>
      <c r="G496" s="1351"/>
      <c r="I496" s="1365"/>
    </row>
    <row r="497" spans="2:9" s="1364" customFormat="1">
      <c r="B497" s="1350"/>
      <c r="C497" s="1397" t="s">
        <v>3184</v>
      </c>
      <c r="D497" s="1629" t="s">
        <v>3031</v>
      </c>
      <c r="E497" s="1621">
        <v>11.68</v>
      </c>
      <c r="F497" s="62"/>
      <c r="G497" s="1351"/>
      <c r="I497" s="1365"/>
    </row>
    <row r="498" spans="2:9" s="1364" customFormat="1">
      <c r="B498" s="1350"/>
      <c r="C498" s="1613" t="s">
        <v>3185</v>
      </c>
      <c r="D498" s="1634" t="s">
        <v>3031</v>
      </c>
      <c r="E498" s="1611">
        <f>(1.9+12.9+1.9)*1.1</f>
        <v>18.37</v>
      </c>
      <c r="F498" s="62"/>
      <c r="G498" s="1351"/>
      <c r="I498" s="1365"/>
    </row>
    <row r="499" spans="2:9">
      <c r="C499" s="1383"/>
      <c r="D499" s="1385" t="s">
        <v>3031</v>
      </c>
      <c r="E499" s="1343">
        <f>SUM(E495:E498)</f>
        <v>68.150000000000006</v>
      </c>
      <c r="F499" s="62"/>
      <c r="G499" s="1353">
        <f>E499*F499</f>
        <v>0</v>
      </c>
    </row>
    <row r="500" spans="2:9">
      <c r="C500" s="1383"/>
      <c r="D500" s="1385"/>
      <c r="F500" s="62"/>
      <c r="G500" s="1353"/>
    </row>
    <row r="501" spans="2:9" s="1364" customFormat="1" ht="38.25">
      <c r="B501" s="1350" t="s">
        <v>3186</v>
      </c>
      <c r="C501" s="1352" t="s">
        <v>3187</v>
      </c>
      <c r="D501" s="1343"/>
      <c r="E501" s="1343"/>
      <c r="F501" s="62"/>
      <c r="G501" s="1351"/>
      <c r="I501" s="1365"/>
    </row>
    <row r="502" spans="2:9" s="1364" customFormat="1">
      <c r="B502" s="1350"/>
      <c r="C502" s="1352" t="s">
        <v>3188</v>
      </c>
      <c r="D502" s="1343"/>
      <c r="E502" s="1343"/>
      <c r="F502" s="62"/>
      <c r="G502" s="1351"/>
      <c r="I502" s="1365"/>
    </row>
    <row r="503" spans="2:9" s="1364" customFormat="1">
      <c r="B503" s="1350"/>
      <c r="C503" s="1359" t="s">
        <v>3160</v>
      </c>
      <c r="D503" s="1356"/>
      <c r="E503" s="1356"/>
      <c r="F503" s="1438"/>
      <c r="I503" s="1365"/>
    </row>
    <row r="504" spans="2:9" s="1364" customFormat="1">
      <c r="B504" s="1350"/>
      <c r="C504" s="1386" t="s">
        <v>3189</v>
      </c>
      <c r="D504" s="1388"/>
      <c r="E504" s="1343"/>
      <c r="F504" s="1438"/>
      <c r="I504" s="1365"/>
    </row>
    <row r="505" spans="2:9" s="1364" customFormat="1">
      <c r="B505" s="1350"/>
      <c r="C505" s="1632" t="s">
        <v>3190</v>
      </c>
      <c r="D505" s="1629" t="s">
        <v>3031</v>
      </c>
      <c r="E505" s="1621">
        <v>3.53</v>
      </c>
      <c r="F505" s="62"/>
      <c r="G505" s="1353"/>
      <c r="I505" s="1365"/>
    </row>
    <row r="506" spans="2:9" s="1364" customFormat="1">
      <c r="B506" s="1350"/>
      <c r="C506" s="1633" t="s">
        <v>3191</v>
      </c>
      <c r="D506" s="1634" t="s">
        <v>3031</v>
      </c>
      <c r="E506" s="1611">
        <f>4*1.1*0.17</f>
        <v>0.75</v>
      </c>
      <c r="F506" s="1438"/>
      <c r="I506" s="1365"/>
    </row>
    <row r="507" spans="2:9" s="1364" customFormat="1">
      <c r="B507" s="1358"/>
      <c r="C507" s="1352"/>
      <c r="D507" s="1385" t="s">
        <v>3031</v>
      </c>
      <c r="E507" s="1343">
        <f>SUM(E505:E506)</f>
        <v>4.28</v>
      </c>
      <c r="F507" s="62"/>
      <c r="G507" s="1353">
        <f>E507*F507</f>
        <v>0</v>
      </c>
      <c r="I507" s="1365"/>
    </row>
    <row r="508" spans="2:9">
      <c r="C508" s="1383"/>
      <c r="D508" s="1385"/>
      <c r="F508" s="62"/>
      <c r="G508" s="1353"/>
    </row>
    <row r="509" spans="2:9">
      <c r="C509" s="1383"/>
      <c r="D509" s="1385"/>
      <c r="F509" s="62"/>
      <c r="G509" s="1353"/>
    </row>
    <row r="510" spans="2:9" s="1364" customFormat="1" ht="38.25">
      <c r="B510" s="1350" t="s">
        <v>3192</v>
      </c>
      <c r="C510" s="1352" t="s">
        <v>3193</v>
      </c>
      <c r="D510" s="1343"/>
      <c r="E510" s="1343"/>
      <c r="F510" s="62"/>
      <c r="G510" s="1351"/>
      <c r="I510" s="1365"/>
    </row>
    <row r="511" spans="2:9" s="1364" customFormat="1">
      <c r="B511" s="1350"/>
      <c r="C511" s="1389" t="s">
        <v>3194</v>
      </c>
      <c r="D511" s="1343"/>
      <c r="E511" s="1343"/>
      <c r="F511" s="62"/>
      <c r="G511" s="1351"/>
      <c r="I511" s="1365"/>
    </row>
    <row r="512" spans="2:9" s="1364" customFormat="1" ht="25.5">
      <c r="B512" s="1350"/>
      <c r="C512" s="1352" t="s">
        <v>3195</v>
      </c>
      <c r="D512" s="1343"/>
      <c r="E512" s="1343"/>
      <c r="F512" s="62"/>
      <c r="G512" s="1351"/>
      <c r="I512" s="1365"/>
    </row>
    <row r="513" spans="2:9" s="1364" customFormat="1">
      <c r="B513" s="1350"/>
      <c r="C513" s="1352" t="s">
        <v>3181</v>
      </c>
      <c r="D513" s="1343"/>
      <c r="E513" s="1343"/>
      <c r="F513" s="62"/>
      <c r="G513" s="1351"/>
      <c r="I513" s="1365"/>
    </row>
    <row r="514" spans="2:9" s="1364" customFormat="1">
      <c r="B514" s="1350"/>
      <c r="C514" s="1352"/>
      <c r="D514" s="1343"/>
      <c r="E514" s="1343"/>
      <c r="F514" s="62"/>
      <c r="G514" s="1351"/>
      <c r="I514" s="1365"/>
    </row>
    <row r="515" spans="2:9" s="1364" customFormat="1">
      <c r="B515" s="1350" t="s">
        <v>3196</v>
      </c>
      <c r="C515" s="1352" t="s">
        <v>3197</v>
      </c>
      <c r="D515" s="1343"/>
      <c r="E515" s="1343"/>
      <c r="F515" s="62"/>
      <c r="G515" s="1351"/>
      <c r="I515" s="1365"/>
    </row>
    <row r="516" spans="2:9" s="1364" customFormat="1" ht="51">
      <c r="B516" s="1358"/>
      <c r="C516" s="1355" t="s">
        <v>3198</v>
      </c>
      <c r="D516" s="1343"/>
      <c r="E516" s="1343"/>
      <c r="F516" s="62"/>
      <c r="G516" s="1351"/>
      <c r="I516" s="1365"/>
    </row>
    <row r="517" spans="2:9" s="1364" customFormat="1">
      <c r="B517" s="1358"/>
      <c r="C517" s="1390" t="s">
        <v>3199</v>
      </c>
      <c r="D517" s="1343"/>
      <c r="E517" s="1343"/>
      <c r="F517" s="62"/>
      <c r="G517" s="1351"/>
      <c r="I517" s="1365"/>
    </row>
    <row r="518" spans="2:9" s="1364" customFormat="1" ht="63.75">
      <c r="B518" s="1358"/>
      <c r="C518" s="1352" t="s">
        <v>3200</v>
      </c>
      <c r="D518" s="1343"/>
      <c r="E518" s="1343"/>
      <c r="F518" s="62"/>
      <c r="G518" s="1351"/>
      <c r="I518" s="1365"/>
    </row>
    <row r="519" spans="2:9" s="1364" customFormat="1" ht="25.5">
      <c r="B519" s="1358"/>
      <c r="C519" s="1352" t="s">
        <v>3201</v>
      </c>
      <c r="D519" s="1343"/>
      <c r="E519" s="1343"/>
      <c r="F519" s="62"/>
      <c r="G519" s="1351"/>
      <c r="I519" s="1365"/>
    </row>
    <row r="520" spans="2:9" s="1364" customFormat="1" ht="25.5">
      <c r="B520" s="1358"/>
      <c r="C520" s="1352" t="s">
        <v>3202</v>
      </c>
      <c r="D520" s="1343"/>
      <c r="E520" s="1343"/>
      <c r="F520" s="62"/>
      <c r="G520" s="1351"/>
      <c r="I520" s="1365"/>
    </row>
    <row r="521" spans="2:9">
      <c r="B521" s="1358"/>
      <c r="C521" s="1352" t="s">
        <v>3203</v>
      </c>
      <c r="D521" s="1343" t="s">
        <v>34</v>
      </c>
      <c r="E521" s="1343">
        <v>1</v>
      </c>
      <c r="F521" s="62"/>
      <c r="G521" s="1353">
        <f t="shared" ref="G521:G523" si="43">E521*F521</f>
        <v>0</v>
      </c>
    </row>
    <row r="522" spans="2:9">
      <c r="B522" s="1358"/>
      <c r="C522" s="1352" t="s">
        <v>5617</v>
      </c>
      <c r="D522" s="1343" t="s">
        <v>34</v>
      </c>
      <c r="E522" s="1343">
        <v>2</v>
      </c>
      <c r="F522" s="62"/>
      <c r="G522" s="1353">
        <f t="shared" si="43"/>
        <v>0</v>
      </c>
    </row>
    <row r="523" spans="2:9">
      <c r="B523" s="1358"/>
      <c r="C523" s="1352" t="s">
        <v>3204</v>
      </c>
      <c r="D523" s="1343" t="s">
        <v>34</v>
      </c>
      <c r="E523" s="1343">
        <v>1</v>
      </c>
      <c r="F523" s="62"/>
      <c r="G523" s="1353">
        <f t="shared" si="43"/>
        <v>0</v>
      </c>
    </row>
    <row r="524" spans="2:9" s="1364" customFormat="1">
      <c r="B524" s="1350"/>
      <c r="C524" s="1352"/>
      <c r="D524" s="1343"/>
      <c r="E524" s="1343"/>
      <c r="F524" s="62"/>
      <c r="G524" s="1351"/>
      <c r="I524" s="1365"/>
    </row>
    <row r="525" spans="2:9" s="1364" customFormat="1">
      <c r="B525" s="1350" t="s">
        <v>3205</v>
      </c>
      <c r="C525" s="1352" t="s">
        <v>3206</v>
      </c>
      <c r="D525" s="1343"/>
      <c r="E525" s="1343"/>
      <c r="F525" s="62"/>
      <c r="G525" s="1351"/>
      <c r="I525" s="1365"/>
    </row>
    <row r="526" spans="2:9" s="1364" customFormat="1" ht="38.25">
      <c r="B526" s="1350"/>
      <c r="C526" s="1352" t="s">
        <v>3207</v>
      </c>
      <c r="D526" s="1343"/>
      <c r="E526" s="1343"/>
      <c r="F526" s="62"/>
      <c r="G526" s="1351"/>
      <c r="I526" s="1365"/>
    </row>
    <row r="527" spans="2:9" s="1364" customFormat="1">
      <c r="B527" s="1350"/>
      <c r="C527" s="1352" t="s">
        <v>3160</v>
      </c>
      <c r="D527" s="1343"/>
      <c r="E527" s="1343"/>
      <c r="F527" s="62"/>
      <c r="G527" s="1351"/>
      <c r="I527" s="1365"/>
    </row>
    <row r="528" spans="2:9" s="1364" customFormat="1">
      <c r="B528" s="1350"/>
      <c r="C528" s="1352" t="s">
        <v>3208</v>
      </c>
      <c r="D528" s="1385" t="s">
        <v>3031</v>
      </c>
      <c r="E528" s="1343">
        <f>6*1.6*0.6</f>
        <v>5.76</v>
      </c>
      <c r="F528" s="62"/>
      <c r="G528" s="1353">
        <f>E528*F528</f>
        <v>0</v>
      </c>
      <c r="I528" s="1365"/>
    </row>
    <row r="529" spans="2:9" s="1364" customFormat="1">
      <c r="B529" s="1350"/>
      <c r="C529" s="1352"/>
      <c r="D529" s="1343"/>
      <c r="E529" s="1343"/>
      <c r="F529" s="62"/>
      <c r="G529" s="1351"/>
      <c r="I529" s="1365"/>
    </row>
    <row r="530" spans="2:9" s="1364" customFormat="1">
      <c r="B530" s="1350" t="s">
        <v>3209</v>
      </c>
      <c r="C530" s="1352" t="s">
        <v>3210</v>
      </c>
      <c r="D530" s="1385"/>
      <c r="E530" s="1343"/>
      <c r="F530" s="62"/>
      <c r="G530" s="1353"/>
      <c r="I530" s="1365"/>
    </row>
    <row r="531" spans="2:9" s="1364" customFormat="1" ht="25.5">
      <c r="B531" s="1358"/>
      <c r="C531" s="1352" t="s">
        <v>3211</v>
      </c>
      <c r="D531" s="1343"/>
      <c r="E531" s="1343"/>
      <c r="F531" s="62"/>
      <c r="G531" s="1351"/>
      <c r="I531" s="1365"/>
    </row>
    <row r="532" spans="2:9" s="1364" customFormat="1" ht="38.25">
      <c r="B532" s="1358"/>
      <c r="C532" s="1352" t="s">
        <v>3212</v>
      </c>
      <c r="D532" s="1343"/>
      <c r="E532" s="1343"/>
      <c r="F532" s="62"/>
      <c r="G532" s="1351"/>
      <c r="I532" s="1365"/>
    </row>
    <row r="533" spans="2:9" s="1364" customFormat="1">
      <c r="B533" s="1358"/>
      <c r="C533" s="1397" t="s">
        <v>3213</v>
      </c>
      <c r="D533" s="1629" t="s">
        <v>3031</v>
      </c>
      <c r="E533" s="1621">
        <f>6*0.9*0.9</f>
        <v>4.8600000000000003</v>
      </c>
      <c r="F533" s="62"/>
      <c r="G533" s="1353"/>
      <c r="I533" s="1365"/>
    </row>
    <row r="534" spans="2:9">
      <c r="B534" s="1358"/>
      <c r="C534" s="1397" t="s">
        <v>3214</v>
      </c>
      <c r="D534" s="1629" t="s">
        <v>3031</v>
      </c>
      <c r="E534" s="1621">
        <f>3*0.9</f>
        <v>2.7</v>
      </c>
      <c r="F534" s="62"/>
      <c r="G534" s="1353"/>
    </row>
    <row r="535" spans="2:9">
      <c r="B535" s="1358"/>
      <c r="C535" s="1397" t="s">
        <v>3215</v>
      </c>
      <c r="D535" s="1629" t="s">
        <v>3031</v>
      </c>
      <c r="E535" s="1621">
        <f>3.3*0.9*1.2*2</f>
        <v>7.13</v>
      </c>
      <c r="F535" s="62"/>
      <c r="G535" s="1353"/>
    </row>
    <row r="536" spans="2:9">
      <c r="B536" s="1358"/>
      <c r="C536" s="1613" t="s">
        <v>3216</v>
      </c>
      <c r="D536" s="1634" t="s">
        <v>3031</v>
      </c>
      <c r="E536" s="1611">
        <f>2.75*0.9</f>
        <v>2.48</v>
      </c>
      <c r="F536" s="62"/>
      <c r="G536" s="1353"/>
    </row>
    <row r="537" spans="2:9">
      <c r="B537" s="1358"/>
      <c r="C537" s="1352" t="s">
        <v>2957</v>
      </c>
      <c r="D537" s="1385" t="s">
        <v>3031</v>
      </c>
      <c r="E537" s="1343">
        <f>SUM(E533:E536)</f>
        <v>17.170000000000002</v>
      </c>
      <c r="F537" s="62"/>
      <c r="G537" s="1353">
        <f t="shared" ref="G537" si="44">E537*F537</f>
        <v>0</v>
      </c>
    </row>
    <row r="538" spans="2:9">
      <c r="B538" s="1358"/>
      <c r="D538" s="1385"/>
      <c r="F538" s="62"/>
      <c r="G538" s="1353"/>
    </row>
    <row r="539" spans="2:9" s="1364" customFormat="1">
      <c r="B539" s="1350" t="s">
        <v>3217</v>
      </c>
      <c r="C539" s="1352" t="s">
        <v>3218</v>
      </c>
      <c r="D539" s="1343"/>
      <c r="E539" s="1343"/>
      <c r="F539" s="62"/>
      <c r="G539" s="1351"/>
      <c r="I539" s="1365"/>
    </row>
    <row r="540" spans="2:9" s="1364" customFormat="1" ht="63.75">
      <c r="B540" s="1350"/>
      <c r="C540" s="1352" t="s">
        <v>3219</v>
      </c>
      <c r="D540" s="1343"/>
      <c r="E540" s="1343"/>
      <c r="F540" s="62"/>
      <c r="G540" s="1351"/>
      <c r="I540" s="1365"/>
    </row>
    <row r="541" spans="2:9" s="1364" customFormat="1">
      <c r="B541" s="1350"/>
      <c r="C541" s="1352"/>
      <c r="D541" s="1385" t="s">
        <v>3031</v>
      </c>
      <c r="E541" s="1343">
        <f>15.4*1.5</f>
        <v>23.1</v>
      </c>
      <c r="F541" s="62"/>
      <c r="G541" s="1353">
        <f>E541*F541</f>
        <v>0</v>
      </c>
      <c r="I541" s="1365"/>
    </row>
    <row r="542" spans="2:9" s="1364" customFormat="1">
      <c r="B542" s="1350"/>
      <c r="C542" s="1352"/>
      <c r="D542" s="1385"/>
      <c r="E542" s="1343"/>
      <c r="F542" s="62"/>
      <c r="G542" s="1353"/>
      <c r="I542" s="1365"/>
    </row>
    <row r="543" spans="2:9" s="1364" customFormat="1">
      <c r="B543" s="1350" t="s">
        <v>3220</v>
      </c>
      <c r="C543" s="1386" t="s">
        <v>3221</v>
      </c>
      <c r="D543" s="1388"/>
      <c r="E543" s="1343"/>
      <c r="F543" s="1438"/>
      <c r="I543" s="1365"/>
    </row>
    <row r="544" spans="2:9" s="1364" customFormat="1" ht="38.25">
      <c r="B544" s="1358"/>
      <c r="C544" s="1352" t="s">
        <v>3222</v>
      </c>
      <c r="D544" s="1343"/>
      <c r="E544" s="1343"/>
      <c r="F544" s="62"/>
      <c r="G544" s="1351"/>
      <c r="I544" s="1365"/>
    </row>
    <row r="545" spans="2:9" s="1364" customFormat="1">
      <c r="B545" s="1358"/>
      <c r="C545" s="1352"/>
      <c r="D545" s="1385" t="s">
        <v>3031</v>
      </c>
      <c r="E545" s="1343">
        <f>15.4*0.6</f>
        <v>9.24</v>
      </c>
      <c r="F545" s="62"/>
      <c r="G545" s="1353">
        <f>E545*F545</f>
        <v>0</v>
      </c>
      <c r="I545" s="1365"/>
    </row>
    <row r="546" spans="2:9" s="1364" customFormat="1">
      <c r="B546" s="1358"/>
      <c r="C546" s="1352"/>
      <c r="D546" s="1343"/>
      <c r="E546" s="1343"/>
      <c r="F546" s="62"/>
      <c r="G546" s="1351"/>
      <c r="I546" s="1365"/>
    </row>
    <row r="547" spans="2:9" s="1364" customFormat="1">
      <c r="B547" s="1358"/>
      <c r="C547" s="1352"/>
      <c r="D547" s="1343"/>
      <c r="E547" s="1343"/>
      <c r="F547" s="62"/>
      <c r="G547" s="1351"/>
      <c r="I547" s="1365"/>
    </row>
    <row r="548" spans="2:9" s="1364" customFormat="1" ht="51">
      <c r="B548" s="1350" t="s">
        <v>3223</v>
      </c>
      <c r="C548" s="1352" t="s">
        <v>3224</v>
      </c>
      <c r="D548" s="1343"/>
      <c r="E548" s="1343"/>
      <c r="F548" s="62"/>
      <c r="G548" s="1351"/>
      <c r="I548" s="1365"/>
    </row>
    <row r="549" spans="2:9" s="1364" customFormat="1">
      <c r="B549" s="1350"/>
      <c r="C549" s="1389" t="s">
        <v>3194</v>
      </c>
      <c r="D549" s="1343"/>
      <c r="E549" s="1343"/>
      <c r="F549" s="62"/>
      <c r="G549" s="1351"/>
      <c r="I549" s="1365"/>
    </row>
    <row r="550" spans="2:9" s="1364" customFormat="1" ht="25.5">
      <c r="B550" s="1350"/>
      <c r="C550" s="1352" t="s">
        <v>3195</v>
      </c>
      <c r="D550" s="1343"/>
      <c r="E550" s="1343"/>
      <c r="F550" s="62"/>
      <c r="G550" s="1351"/>
      <c r="I550" s="1365"/>
    </row>
    <row r="551" spans="2:9" s="1364" customFormat="1">
      <c r="B551" s="1350"/>
      <c r="C551" s="1352" t="s">
        <v>3181</v>
      </c>
      <c r="D551" s="1343"/>
      <c r="E551" s="1343"/>
      <c r="F551" s="62"/>
      <c r="G551" s="1351"/>
      <c r="I551" s="1365"/>
    </row>
    <row r="552" spans="2:9" s="1364" customFormat="1">
      <c r="B552" s="1350"/>
      <c r="C552" s="1352"/>
      <c r="D552" s="1343"/>
      <c r="E552" s="1343"/>
      <c r="F552" s="62"/>
      <c r="G552" s="1351"/>
      <c r="I552" s="1365"/>
    </row>
    <row r="553" spans="2:9" s="1364" customFormat="1">
      <c r="B553" s="1350" t="s">
        <v>3225</v>
      </c>
      <c r="C553" s="1352" t="s">
        <v>3197</v>
      </c>
      <c r="D553" s="1343"/>
      <c r="E553" s="1343"/>
      <c r="F553" s="62"/>
      <c r="G553" s="1351"/>
      <c r="I553" s="1365"/>
    </row>
    <row r="554" spans="2:9" s="1364" customFormat="1" ht="51">
      <c r="B554" s="1358"/>
      <c r="C554" s="1355" t="s">
        <v>3226</v>
      </c>
      <c r="D554" s="1343"/>
      <c r="E554" s="1343"/>
      <c r="F554" s="62"/>
      <c r="G554" s="1351"/>
      <c r="I554" s="1365"/>
    </row>
    <row r="555" spans="2:9" s="1364" customFormat="1">
      <c r="B555" s="1358"/>
      <c r="C555" s="1390" t="s">
        <v>3227</v>
      </c>
      <c r="D555" s="1343"/>
      <c r="E555" s="1343"/>
      <c r="F555" s="62"/>
      <c r="G555" s="1351"/>
      <c r="I555" s="1365"/>
    </row>
    <row r="556" spans="2:9" s="1364" customFormat="1" ht="51">
      <c r="B556" s="1358"/>
      <c r="C556" s="1352" t="s">
        <v>3228</v>
      </c>
      <c r="D556" s="1343"/>
      <c r="E556" s="1343"/>
      <c r="F556" s="62"/>
      <c r="G556" s="1351"/>
      <c r="I556" s="1365"/>
    </row>
    <row r="557" spans="2:9" s="1364" customFormat="1" ht="25.5">
      <c r="B557" s="1358"/>
      <c r="C557" s="1352" t="s">
        <v>3201</v>
      </c>
      <c r="D557" s="1343"/>
      <c r="E557" s="1343"/>
      <c r="F557" s="62"/>
      <c r="G557" s="1351"/>
      <c r="I557" s="1365"/>
    </row>
    <row r="558" spans="2:9" s="1364" customFormat="1">
      <c r="B558" s="1358"/>
      <c r="C558" s="1352" t="s">
        <v>3229</v>
      </c>
      <c r="D558" s="1343"/>
      <c r="E558" s="1343"/>
      <c r="F558" s="62"/>
      <c r="G558" s="1351"/>
      <c r="I558" s="1365"/>
    </row>
    <row r="559" spans="2:9">
      <c r="B559" s="1358"/>
      <c r="C559" s="1352" t="s">
        <v>3203</v>
      </c>
      <c r="D559" s="1343" t="s">
        <v>34</v>
      </c>
      <c r="E559" s="1343">
        <v>1</v>
      </c>
      <c r="F559" s="62"/>
      <c r="G559" s="1353">
        <f t="shared" ref="G559:G561" si="45">E559*F559</f>
        <v>0</v>
      </c>
    </row>
    <row r="560" spans="2:9">
      <c r="B560" s="1358"/>
      <c r="C560" s="1352" t="s">
        <v>5617</v>
      </c>
      <c r="D560" s="1343" t="s">
        <v>34</v>
      </c>
      <c r="E560" s="1343">
        <v>2</v>
      </c>
      <c r="F560" s="62"/>
      <c r="G560" s="1353">
        <f t="shared" si="45"/>
        <v>0</v>
      </c>
    </row>
    <row r="561" spans="2:9">
      <c r="B561" s="1358"/>
      <c r="C561" s="1352" t="s">
        <v>3204</v>
      </c>
      <c r="D561" s="1343" t="s">
        <v>34</v>
      </c>
      <c r="E561" s="1343">
        <v>1</v>
      </c>
      <c r="F561" s="62"/>
      <c r="G561" s="1353">
        <f t="shared" si="45"/>
        <v>0</v>
      </c>
    </row>
    <row r="562" spans="2:9" s="1364" customFormat="1">
      <c r="B562" s="1350"/>
      <c r="C562" s="1352"/>
      <c r="D562" s="1343"/>
      <c r="E562" s="1343"/>
      <c r="F562" s="62"/>
      <c r="G562" s="1351"/>
      <c r="I562" s="1365"/>
    </row>
    <row r="563" spans="2:9" s="1364" customFormat="1" ht="25.5">
      <c r="B563" s="1350" t="s">
        <v>3230</v>
      </c>
      <c r="C563" s="1352" t="s">
        <v>3231</v>
      </c>
      <c r="D563" s="1343"/>
      <c r="E563" s="1343"/>
      <c r="F563" s="62"/>
      <c r="G563" s="1351"/>
      <c r="I563" s="1365"/>
    </row>
    <row r="564" spans="2:9" s="1364" customFormat="1" ht="38.25">
      <c r="B564" s="1350"/>
      <c r="C564" s="1352" t="s">
        <v>3207</v>
      </c>
      <c r="D564" s="1343"/>
      <c r="E564" s="1343"/>
      <c r="F564" s="62"/>
      <c r="G564" s="1351"/>
      <c r="I564" s="1365"/>
    </row>
    <row r="565" spans="2:9" s="1364" customFormat="1">
      <c r="B565" s="1350"/>
      <c r="C565" s="1352" t="s">
        <v>3160</v>
      </c>
      <c r="D565" s="1343"/>
      <c r="E565" s="1343"/>
      <c r="F565" s="62"/>
      <c r="G565" s="1351"/>
      <c r="I565" s="1365"/>
    </row>
    <row r="566" spans="2:9" s="1364" customFormat="1">
      <c r="B566" s="1350"/>
      <c r="C566" s="1352" t="s">
        <v>3232</v>
      </c>
      <c r="D566" s="1385" t="s">
        <v>3031</v>
      </c>
      <c r="E566" s="1343">
        <v>30</v>
      </c>
      <c r="F566" s="62"/>
      <c r="G566" s="1353">
        <f>E566*F566</f>
        <v>0</v>
      </c>
      <c r="I566" s="1365"/>
    </row>
    <row r="567" spans="2:9" s="1364" customFormat="1">
      <c r="B567" s="1350"/>
      <c r="C567" s="1352" t="s">
        <v>3208</v>
      </c>
      <c r="D567" s="1385" t="s">
        <v>3031</v>
      </c>
      <c r="E567" s="1343">
        <f>6*1.6*0.6</f>
        <v>5.76</v>
      </c>
      <c r="F567" s="62"/>
      <c r="G567" s="1353">
        <f>E567*F567</f>
        <v>0</v>
      </c>
      <c r="I567" s="1365"/>
    </row>
    <row r="568" spans="2:9" s="1364" customFormat="1">
      <c r="B568" s="1350"/>
      <c r="C568" s="1352"/>
      <c r="D568" s="1343"/>
      <c r="E568" s="1343"/>
      <c r="F568" s="62"/>
      <c r="G568" s="1351"/>
      <c r="I568" s="1365"/>
    </row>
    <row r="569" spans="2:9" s="1364" customFormat="1">
      <c r="B569" s="1350" t="s">
        <v>3233</v>
      </c>
      <c r="C569" s="1352" t="s">
        <v>3210</v>
      </c>
      <c r="D569" s="1385"/>
      <c r="E569" s="1343"/>
      <c r="F569" s="62"/>
      <c r="G569" s="1353"/>
      <c r="I569" s="1365"/>
    </row>
    <row r="570" spans="2:9" s="1364" customFormat="1" ht="25.5">
      <c r="B570" s="1358"/>
      <c r="C570" s="1352" t="s">
        <v>3211</v>
      </c>
      <c r="D570" s="1343"/>
      <c r="E570" s="1343"/>
      <c r="F570" s="62"/>
      <c r="G570" s="1351"/>
      <c r="I570" s="1365"/>
    </row>
    <row r="571" spans="2:9" s="1364" customFormat="1" ht="38.25">
      <c r="B571" s="1358"/>
      <c r="C571" s="1352" t="s">
        <v>3212</v>
      </c>
      <c r="D571" s="1343"/>
      <c r="E571" s="1343"/>
      <c r="F571" s="62"/>
      <c r="G571" s="1351"/>
      <c r="I571" s="1365"/>
    </row>
    <row r="572" spans="2:9" s="1364" customFormat="1">
      <c r="B572" s="1358"/>
      <c r="C572" s="1397" t="s">
        <v>3213</v>
      </c>
      <c r="D572" s="1629" t="s">
        <v>3031</v>
      </c>
      <c r="E572" s="1621">
        <f>6*0.9*0.9</f>
        <v>4.8600000000000003</v>
      </c>
      <c r="F572" s="62"/>
      <c r="G572" s="1353"/>
      <c r="I572" s="1365"/>
    </row>
    <row r="573" spans="2:9">
      <c r="B573" s="1358"/>
      <c r="C573" s="1397" t="s">
        <v>3214</v>
      </c>
      <c r="D573" s="1629" t="s">
        <v>3031</v>
      </c>
      <c r="E573" s="1621">
        <f>3*0.9</f>
        <v>2.7</v>
      </c>
      <c r="F573" s="62"/>
      <c r="G573" s="1353"/>
    </row>
    <row r="574" spans="2:9">
      <c r="B574" s="1358"/>
      <c r="C574" s="1397" t="s">
        <v>3215</v>
      </c>
      <c r="D574" s="1629" t="s">
        <v>3031</v>
      </c>
      <c r="E574" s="1621">
        <f>3.3*0.9*1.2*2</f>
        <v>7.13</v>
      </c>
      <c r="F574" s="62"/>
      <c r="G574" s="1353"/>
    </row>
    <row r="575" spans="2:9">
      <c r="B575" s="1358"/>
      <c r="C575" s="1613" t="s">
        <v>3216</v>
      </c>
      <c r="D575" s="1634" t="s">
        <v>3031</v>
      </c>
      <c r="E575" s="1611">
        <f>2.75*0.9</f>
        <v>2.48</v>
      </c>
      <c r="F575" s="62"/>
      <c r="G575" s="1353"/>
    </row>
    <row r="576" spans="2:9">
      <c r="B576" s="1358"/>
      <c r="C576" s="1352" t="s">
        <v>2957</v>
      </c>
      <c r="D576" s="1385" t="s">
        <v>3031</v>
      </c>
      <c r="E576" s="1343">
        <f>SUM(E572:E575)</f>
        <v>17.170000000000002</v>
      </c>
      <c r="F576" s="62"/>
      <c r="G576" s="1353">
        <f t="shared" ref="G576" si="46">E576*F576</f>
        <v>0</v>
      </c>
    </row>
    <row r="577" spans="2:9">
      <c r="B577" s="1358"/>
      <c r="D577" s="1385"/>
      <c r="F577" s="62"/>
      <c r="G577" s="1353"/>
    </row>
    <row r="578" spans="2:9" s="1364" customFormat="1">
      <c r="B578" s="1350"/>
      <c r="C578" s="1352"/>
      <c r="D578" s="1343"/>
      <c r="E578" s="1343"/>
      <c r="F578" s="62"/>
      <c r="G578" s="1351"/>
      <c r="I578" s="1365"/>
    </row>
    <row r="579" spans="2:9" s="1364" customFormat="1">
      <c r="B579" s="1354" t="s">
        <v>3234</v>
      </c>
      <c r="C579" s="1352" t="s">
        <v>3235</v>
      </c>
      <c r="D579" s="1343"/>
      <c r="E579" s="1343"/>
      <c r="F579" s="62"/>
      <c r="G579" s="1351"/>
      <c r="I579" s="1365"/>
    </row>
    <row r="580" spans="2:9" s="1364" customFormat="1" ht="25.5">
      <c r="B580" s="1350"/>
      <c r="C580" s="1352" t="s">
        <v>3195</v>
      </c>
      <c r="D580" s="1343"/>
      <c r="E580" s="1343"/>
      <c r="F580" s="62"/>
      <c r="G580" s="1351"/>
      <c r="I580" s="1365"/>
    </row>
    <row r="581" spans="2:9" s="1364" customFormat="1" ht="25.5">
      <c r="B581" s="1358"/>
      <c r="C581" s="1352" t="s">
        <v>3236</v>
      </c>
      <c r="D581" s="1343"/>
      <c r="E581" s="1343"/>
      <c r="F581" s="62"/>
      <c r="G581" s="1351"/>
      <c r="I581" s="1365"/>
    </row>
    <row r="582" spans="2:9" s="1364" customFormat="1">
      <c r="B582" s="1358"/>
      <c r="C582" s="1352"/>
      <c r="D582" s="1343"/>
      <c r="E582" s="1343"/>
      <c r="F582" s="62"/>
      <c r="G582" s="1351"/>
      <c r="I582" s="1365"/>
    </row>
    <row r="583" spans="2:9" s="1364" customFormat="1">
      <c r="B583" s="1350" t="s">
        <v>3237</v>
      </c>
      <c r="C583" s="1352" t="s">
        <v>3238</v>
      </c>
      <c r="D583" s="1343"/>
      <c r="E583" s="1343"/>
      <c r="F583" s="62"/>
      <c r="G583" s="1351"/>
      <c r="I583" s="1365"/>
    </row>
    <row r="584" spans="2:9" s="1364" customFormat="1" ht="25.5">
      <c r="B584" s="1358"/>
      <c r="C584" s="1352" t="s">
        <v>3239</v>
      </c>
      <c r="D584" s="1343"/>
      <c r="E584" s="1343"/>
      <c r="F584" s="62"/>
      <c r="G584" s="1351"/>
      <c r="I584" s="1365"/>
    </row>
    <row r="585" spans="2:9" s="1364" customFormat="1" ht="25.5">
      <c r="B585" s="1350"/>
      <c r="C585" s="1352" t="s">
        <v>3240</v>
      </c>
      <c r="D585" s="1343"/>
      <c r="E585" s="1343"/>
      <c r="F585" s="62"/>
      <c r="G585" s="1351"/>
      <c r="I585" s="1365"/>
    </row>
    <row r="586" spans="2:9" s="1364" customFormat="1" ht="63.75">
      <c r="B586" s="1350"/>
      <c r="C586" s="1352" t="s">
        <v>3241</v>
      </c>
      <c r="D586" s="1343"/>
      <c r="E586" s="1343"/>
      <c r="F586" s="62"/>
      <c r="G586" s="1351"/>
      <c r="I586" s="1365"/>
    </row>
    <row r="587" spans="2:9" ht="76.5">
      <c r="C587" s="1391" t="s">
        <v>3242</v>
      </c>
      <c r="D587" s="1385"/>
      <c r="F587" s="62"/>
      <c r="G587" s="1353"/>
    </row>
    <row r="588" spans="2:9" s="1364" customFormat="1">
      <c r="B588" s="1350"/>
      <c r="C588" s="1359" t="s">
        <v>3125</v>
      </c>
      <c r="D588" s="1385"/>
      <c r="E588" s="1343"/>
      <c r="F588" s="62"/>
      <c r="G588" s="1353"/>
      <c r="I588" s="1365"/>
    </row>
    <row r="589" spans="2:9" s="1364" customFormat="1">
      <c r="B589" s="1350"/>
      <c r="C589" s="1359" t="s">
        <v>3160</v>
      </c>
      <c r="D589" s="1385" t="s">
        <v>3031</v>
      </c>
      <c r="E589" s="1343">
        <f>18.4+(4.7*3.14*0.6*2)</f>
        <v>36.11</v>
      </c>
      <c r="F589" s="62"/>
      <c r="G589" s="1353">
        <f>E589*F589</f>
        <v>0</v>
      </c>
      <c r="I589" s="1365"/>
    </row>
    <row r="590" spans="2:9">
      <c r="C590" s="1383"/>
      <c r="D590" s="1385"/>
      <c r="F590" s="62"/>
      <c r="G590" s="1353"/>
    </row>
    <row r="591" spans="2:9" s="1364" customFormat="1">
      <c r="B591" s="1350" t="s">
        <v>3243</v>
      </c>
      <c r="C591" s="1352" t="s">
        <v>3244</v>
      </c>
      <c r="D591" s="1343"/>
      <c r="E591" s="1343"/>
      <c r="F591" s="62"/>
      <c r="G591" s="1351"/>
      <c r="I591" s="1365"/>
    </row>
    <row r="592" spans="2:9" s="1364" customFormat="1" ht="25.5">
      <c r="B592" s="1358"/>
      <c r="C592" s="1352" t="s">
        <v>3245</v>
      </c>
      <c r="D592" s="1343"/>
      <c r="E592" s="1343"/>
      <c r="F592" s="62"/>
      <c r="G592" s="1351"/>
      <c r="I592" s="1365"/>
    </row>
    <row r="593" spans="2:9" s="1364" customFormat="1" ht="63.75">
      <c r="B593" s="1358"/>
      <c r="C593" s="1352" t="s">
        <v>3246</v>
      </c>
      <c r="D593" s="1343"/>
      <c r="E593" s="1343"/>
      <c r="F593" s="62"/>
      <c r="G593" s="1351"/>
      <c r="I593" s="1365"/>
    </row>
    <row r="594" spans="2:9" s="1364" customFormat="1" ht="51">
      <c r="B594" s="1358"/>
      <c r="C594" s="1352" t="s">
        <v>3247</v>
      </c>
      <c r="D594" s="1343"/>
      <c r="E594" s="1343"/>
      <c r="F594" s="62"/>
      <c r="G594" s="1351"/>
      <c r="I594" s="1365"/>
    </row>
    <row r="595" spans="2:9" s="1364" customFormat="1" ht="25.5">
      <c r="B595" s="1358"/>
      <c r="C595" s="1352" t="s">
        <v>3248</v>
      </c>
      <c r="D595" s="1343"/>
      <c r="E595" s="1343"/>
      <c r="F595" s="62"/>
      <c r="G595" s="1351"/>
      <c r="I595" s="1365"/>
    </row>
    <row r="596" spans="2:9" s="1364" customFormat="1" ht="25.5">
      <c r="B596" s="1350"/>
      <c r="C596" s="1352" t="s">
        <v>3249</v>
      </c>
      <c r="D596" s="1343"/>
      <c r="E596" s="1343"/>
      <c r="F596" s="62"/>
      <c r="G596" s="1351"/>
      <c r="I596" s="1365"/>
    </row>
    <row r="597" spans="2:9" s="1364" customFormat="1">
      <c r="B597" s="1350"/>
      <c r="C597" s="1359" t="s">
        <v>3125</v>
      </c>
      <c r="D597" s="1385"/>
      <c r="E597" s="1343"/>
      <c r="F597" s="62"/>
      <c r="G597" s="1353"/>
      <c r="I597" s="1365"/>
    </row>
    <row r="598" spans="2:9" s="1364" customFormat="1">
      <c r="B598" s="1350"/>
      <c r="C598" s="1359" t="s">
        <v>3250</v>
      </c>
      <c r="D598" s="1385"/>
      <c r="E598" s="1343"/>
      <c r="F598" s="62"/>
      <c r="G598" s="1353"/>
      <c r="I598" s="1365"/>
    </row>
    <row r="599" spans="2:9" s="1364" customFormat="1">
      <c r="B599" s="1350"/>
      <c r="C599" s="1359" t="s">
        <v>3251</v>
      </c>
      <c r="D599" s="1356"/>
      <c r="E599" s="1356"/>
      <c r="F599" s="1438"/>
      <c r="I599" s="1365"/>
    </row>
    <row r="600" spans="2:9">
      <c r="C600" s="1359" t="s">
        <v>3252</v>
      </c>
      <c r="D600" s="1339" t="s">
        <v>3253</v>
      </c>
      <c r="E600" s="1356">
        <f>1.15*3.14*0.75</f>
        <v>2.71</v>
      </c>
      <c r="F600" s="1438"/>
      <c r="G600" s="1353">
        <f t="shared" ref="G600:G601" si="47">E600*F600</f>
        <v>0</v>
      </c>
    </row>
    <row r="601" spans="2:9">
      <c r="C601" s="1359" t="s">
        <v>3254</v>
      </c>
      <c r="D601" s="1339" t="s">
        <v>3253</v>
      </c>
      <c r="E601" s="1356">
        <v>1</v>
      </c>
      <c r="F601" s="1438"/>
      <c r="G601" s="1353">
        <f t="shared" si="47"/>
        <v>0</v>
      </c>
    </row>
    <row r="602" spans="2:9">
      <c r="C602" s="1383"/>
      <c r="D602" s="1385"/>
      <c r="F602" s="62"/>
      <c r="G602" s="1353"/>
    </row>
    <row r="603" spans="2:9">
      <c r="C603" s="1383"/>
      <c r="D603" s="1385"/>
      <c r="F603" s="62"/>
      <c r="G603" s="1353"/>
    </row>
    <row r="604" spans="2:9" s="1364" customFormat="1" ht="25.5">
      <c r="B604" s="1392" t="s">
        <v>3255</v>
      </c>
      <c r="C604" s="1359" t="s">
        <v>3256</v>
      </c>
      <c r="D604" s="1385"/>
      <c r="E604" s="1343"/>
      <c r="F604" s="62"/>
      <c r="G604" s="1353"/>
      <c r="I604" s="1365"/>
    </row>
    <row r="605" spans="2:9" s="1364" customFormat="1" ht="25.5">
      <c r="B605" s="1392"/>
      <c r="C605" s="1359" t="s">
        <v>3257</v>
      </c>
      <c r="D605" s="1385"/>
      <c r="E605" s="1343"/>
      <c r="F605" s="1438"/>
      <c r="G605" s="1353"/>
      <c r="I605" s="1365"/>
    </row>
    <row r="606" spans="2:9" s="1364" customFormat="1">
      <c r="B606" s="1392"/>
      <c r="C606" s="1628" t="s">
        <v>3258</v>
      </c>
      <c r="D606" s="1629" t="s">
        <v>3031</v>
      </c>
      <c r="E606" s="1621">
        <v>47.51</v>
      </c>
      <c r="F606" s="62"/>
      <c r="G606" s="1353"/>
      <c r="I606" s="1365"/>
    </row>
    <row r="607" spans="2:9" s="1364" customFormat="1">
      <c r="B607" s="1392"/>
      <c r="C607" s="1628" t="s">
        <v>3259</v>
      </c>
      <c r="D607" s="1629" t="s">
        <v>3031</v>
      </c>
      <c r="E607" s="1621">
        <v>2.16</v>
      </c>
      <c r="F607" s="62"/>
      <c r="G607" s="1353"/>
      <c r="I607" s="1365"/>
    </row>
    <row r="608" spans="2:9" s="1364" customFormat="1">
      <c r="B608" s="1392"/>
      <c r="C608" s="1628" t="s">
        <v>3260</v>
      </c>
      <c r="D608" s="1629" t="s">
        <v>3031</v>
      </c>
      <c r="E608" s="1621">
        <f>11.96*1.5</f>
        <v>17.940000000000001</v>
      </c>
      <c r="F608" s="62"/>
      <c r="G608" s="1353"/>
      <c r="I608" s="1365"/>
    </row>
    <row r="609" spans="2:9" s="1364" customFormat="1">
      <c r="B609" s="1392"/>
      <c r="C609" s="1628" t="s">
        <v>3261</v>
      </c>
      <c r="D609" s="1629" t="s">
        <v>3031</v>
      </c>
      <c r="E609" s="1621">
        <f>4.5*1.5</f>
        <v>6.75</v>
      </c>
      <c r="F609" s="62"/>
      <c r="G609" s="1353"/>
      <c r="I609" s="1365"/>
    </row>
    <row r="610" spans="2:9" s="1364" customFormat="1">
      <c r="B610" s="1350"/>
      <c r="C610" s="1628" t="s">
        <v>3262</v>
      </c>
      <c r="D610" s="1629" t="s">
        <v>3031</v>
      </c>
      <c r="E610" s="1621"/>
      <c r="F610" s="62"/>
      <c r="G610" s="1353"/>
      <c r="I610" s="1365"/>
    </row>
    <row r="611" spans="2:9" s="1364" customFormat="1">
      <c r="B611" s="1350"/>
      <c r="C611" s="1638" t="s">
        <v>3263</v>
      </c>
      <c r="D611" s="1634" t="s">
        <v>3031</v>
      </c>
      <c r="E611" s="1611">
        <v>6.75</v>
      </c>
      <c r="F611" s="62"/>
      <c r="G611" s="1353"/>
      <c r="I611" s="1365"/>
    </row>
    <row r="612" spans="2:9" s="1364" customFormat="1">
      <c r="B612" s="1350"/>
      <c r="C612" s="1359" t="s">
        <v>2957</v>
      </c>
      <c r="D612" s="1385" t="s">
        <v>3031</v>
      </c>
      <c r="E612" s="1343">
        <f>SUM(E606:E611)</f>
        <v>81.11</v>
      </c>
      <c r="F612" s="62"/>
      <c r="G612" s="1353">
        <f t="shared" ref="G612" si="48">E612*F612</f>
        <v>0</v>
      </c>
      <c r="I612" s="1365"/>
    </row>
    <row r="613" spans="2:9" s="1364" customFormat="1">
      <c r="B613" s="1350"/>
      <c r="C613" s="1359"/>
      <c r="D613" s="1385"/>
      <c r="E613" s="1343"/>
      <c r="F613" s="62"/>
      <c r="G613" s="1353"/>
      <c r="I613" s="1365"/>
    </row>
    <row r="614" spans="2:9" s="1364" customFormat="1">
      <c r="B614" s="1350"/>
      <c r="C614" s="1359"/>
      <c r="D614" s="1385"/>
      <c r="E614" s="1343"/>
      <c r="F614" s="62"/>
      <c r="G614" s="1353"/>
      <c r="I614" s="1365"/>
    </row>
    <row r="615" spans="2:9" s="1364" customFormat="1" ht="25.5">
      <c r="B615" s="1350" t="s">
        <v>3264</v>
      </c>
      <c r="C615" s="1359" t="s">
        <v>3265</v>
      </c>
      <c r="D615" s="1385"/>
      <c r="E615" s="1343"/>
      <c r="F615" s="62"/>
      <c r="G615" s="1353"/>
      <c r="I615" s="1365"/>
    </row>
    <row r="616" spans="2:9" s="1364" customFormat="1" ht="25.5">
      <c r="B616" s="1350"/>
      <c r="C616" s="1352" t="s">
        <v>3195</v>
      </c>
      <c r="D616" s="1385"/>
      <c r="E616" s="1343"/>
      <c r="F616" s="62"/>
      <c r="G616" s="1353"/>
      <c r="I616" s="1365"/>
    </row>
    <row r="617" spans="2:9" s="1364" customFormat="1">
      <c r="B617" s="1350" t="s">
        <v>3266</v>
      </c>
      <c r="C617" s="1359" t="s">
        <v>3267</v>
      </c>
      <c r="D617" s="1385"/>
      <c r="E617" s="1343"/>
      <c r="F617" s="62"/>
      <c r="G617" s="1353"/>
      <c r="I617" s="1365"/>
    </row>
    <row r="618" spans="2:9" s="1364" customFormat="1" ht="63.75">
      <c r="B618" s="1350"/>
      <c r="C618" s="1391" t="s">
        <v>3268</v>
      </c>
      <c r="D618" s="1385"/>
      <c r="E618" s="1343"/>
      <c r="F618" s="62"/>
      <c r="G618" s="1353"/>
      <c r="I618" s="1365"/>
    </row>
    <row r="619" spans="2:9" s="1364" customFormat="1" ht="38.25">
      <c r="B619" s="1392"/>
      <c r="C619" s="1393" t="s">
        <v>3269</v>
      </c>
      <c r="D619" s="1629"/>
      <c r="E619" s="1343"/>
      <c r="F619" s="62"/>
      <c r="G619" s="1353"/>
      <c r="I619" s="1365"/>
    </row>
    <row r="620" spans="2:9" ht="76.5">
      <c r="C620" s="1393" t="s">
        <v>3270</v>
      </c>
      <c r="D620" s="1385"/>
      <c r="F620" s="62"/>
      <c r="G620" s="1353"/>
    </row>
    <row r="621" spans="2:9" ht="76.5">
      <c r="C621" s="1391" t="s">
        <v>3242</v>
      </c>
      <c r="D621" s="1385"/>
      <c r="F621" s="62"/>
      <c r="G621" s="1353"/>
    </row>
    <row r="622" spans="2:9">
      <c r="C622" s="1391" t="s">
        <v>3271</v>
      </c>
      <c r="D622" s="1385"/>
      <c r="F622" s="62"/>
      <c r="G622" s="1353"/>
    </row>
    <row r="623" spans="2:9" s="1364" customFormat="1">
      <c r="B623" s="1350"/>
      <c r="C623" s="1359" t="s">
        <v>3272</v>
      </c>
      <c r="E623" s="1356"/>
      <c r="F623" s="64"/>
      <c r="I623" s="1365"/>
    </row>
    <row r="624" spans="2:9" s="1364" customFormat="1">
      <c r="B624" s="1350"/>
      <c r="C624" s="1628" t="s">
        <v>3273</v>
      </c>
      <c r="D624" s="1615" t="s">
        <v>1184</v>
      </c>
      <c r="E624" s="1639">
        <v>18.55</v>
      </c>
      <c r="F624" s="1438"/>
      <c r="I624" s="1365"/>
    </row>
    <row r="625" spans="2:9" s="1364" customFormat="1">
      <c r="B625" s="1350"/>
      <c r="C625" s="1628" t="s">
        <v>3274</v>
      </c>
      <c r="D625" s="1615" t="s">
        <v>1184</v>
      </c>
      <c r="E625" s="1639">
        <v>21.8</v>
      </c>
      <c r="F625" s="1438"/>
      <c r="I625" s="1365"/>
    </row>
    <row r="626" spans="2:9" s="1364" customFormat="1">
      <c r="B626" s="1350"/>
      <c r="C626" s="1628" t="s">
        <v>3275</v>
      </c>
      <c r="D626" s="1615" t="s">
        <v>1184</v>
      </c>
      <c r="E626" s="1639">
        <v>18</v>
      </c>
      <c r="F626" s="1438"/>
      <c r="I626" s="1365"/>
    </row>
    <row r="627" spans="2:9" s="1364" customFormat="1">
      <c r="B627" s="1350"/>
      <c r="C627" s="1638" t="s">
        <v>3276</v>
      </c>
      <c r="D627" s="1617" t="s">
        <v>1184</v>
      </c>
      <c r="E627" s="1626">
        <v>39.5</v>
      </c>
      <c r="F627" s="1438"/>
      <c r="I627" s="1365"/>
    </row>
    <row r="628" spans="2:9" s="1364" customFormat="1">
      <c r="B628" s="1350"/>
      <c r="C628" s="1359"/>
      <c r="D628" s="1356" t="s">
        <v>3277</v>
      </c>
      <c r="E628" s="1356">
        <f>(SUM(E624:E627))*0.45</f>
        <v>44.03</v>
      </c>
      <c r="F628" s="1438"/>
      <c r="G628" s="1353">
        <f t="shared" ref="G628" si="49">E628*F628</f>
        <v>0</v>
      </c>
      <c r="I628" s="1365"/>
    </row>
    <row r="629" spans="2:9">
      <c r="C629" s="1391"/>
      <c r="D629" s="1385"/>
      <c r="F629" s="62"/>
      <c r="G629" s="1353"/>
    </row>
    <row r="630" spans="2:9">
      <c r="B630" s="1350" t="s">
        <v>3278</v>
      </c>
      <c r="C630" s="1391" t="s">
        <v>3279</v>
      </c>
      <c r="D630" s="1385"/>
      <c r="F630" s="62"/>
      <c r="G630" s="1353"/>
    </row>
    <row r="631" spans="2:9" ht="25.5">
      <c r="C631" s="1391" t="s">
        <v>3280</v>
      </c>
      <c r="D631" s="1385"/>
      <c r="F631" s="62"/>
      <c r="G631" s="1353"/>
    </row>
    <row r="632" spans="2:9" ht="38.25">
      <c r="C632" s="1391" t="s">
        <v>3281</v>
      </c>
      <c r="D632" s="1385"/>
      <c r="F632" s="62"/>
      <c r="G632" s="1353"/>
    </row>
    <row r="633" spans="2:9">
      <c r="C633" s="1391" t="s">
        <v>3282</v>
      </c>
      <c r="D633" s="1385"/>
      <c r="F633" s="62"/>
      <c r="G633" s="1353"/>
    </row>
    <row r="634" spans="2:9" s="1364" customFormat="1">
      <c r="B634" s="1350"/>
      <c r="C634" s="1359" t="s">
        <v>3283</v>
      </c>
      <c r="E634" s="1356"/>
      <c r="F634" s="1438"/>
      <c r="I634" s="1365"/>
    </row>
    <row r="635" spans="2:9" s="1364" customFormat="1">
      <c r="B635" s="1350"/>
      <c r="C635" s="1628" t="s">
        <v>3273</v>
      </c>
      <c r="D635" s="1615" t="s">
        <v>1184</v>
      </c>
      <c r="E635" s="1639">
        <v>18.55</v>
      </c>
      <c r="F635" s="1438"/>
      <c r="I635" s="1365"/>
    </row>
    <row r="636" spans="2:9" s="1364" customFormat="1">
      <c r="B636" s="1350"/>
      <c r="C636" s="1628" t="s">
        <v>3274</v>
      </c>
      <c r="D636" s="1615" t="s">
        <v>1184</v>
      </c>
      <c r="E636" s="1639">
        <v>21.8</v>
      </c>
      <c r="F636" s="1438"/>
      <c r="I636" s="1365"/>
    </row>
    <row r="637" spans="2:9" s="1364" customFormat="1">
      <c r="B637" s="1350"/>
      <c r="C637" s="1628" t="s">
        <v>3275</v>
      </c>
      <c r="D637" s="1615" t="s">
        <v>1184</v>
      </c>
      <c r="E637" s="1639">
        <v>18</v>
      </c>
      <c r="F637" s="1438"/>
      <c r="I637" s="1365"/>
    </row>
    <row r="638" spans="2:9" s="1364" customFormat="1">
      <c r="B638" s="1350"/>
      <c r="C638" s="1638" t="s">
        <v>3276</v>
      </c>
      <c r="D638" s="1617" t="s">
        <v>1184</v>
      </c>
      <c r="E638" s="1626">
        <v>39.5</v>
      </c>
      <c r="F638" s="1438"/>
      <c r="I638" s="1365"/>
    </row>
    <row r="639" spans="2:9" s="1364" customFormat="1">
      <c r="B639" s="1350"/>
      <c r="C639" s="1359"/>
      <c r="D639" s="1356" t="s">
        <v>3277</v>
      </c>
      <c r="E639" s="1356">
        <f>(SUM(E635:E638))*0.35</f>
        <v>34.25</v>
      </c>
      <c r="F639" s="1438"/>
      <c r="G639" s="1353">
        <f t="shared" ref="G639" si="50">E639*F639</f>
        <v>0</v>
      </c>
      <c r="I639" s="1365"/>
    </row>
    <row r="640" spans="2:9">
      <c r="C640" s="1383"/>
      <c r="D640" s="1385"/>
      <c r="F640" s="62"/>
      <c r="G640" s="1353"/>
    </row>
    <row r="641" spans="2:9">
      <c r="F641" s="62"/>
      <c r="G641" s="1353"/>
    </row>
    <row r="642" spans="2:9" s="1364" customFormat="1">
      <c r="B642" s="1346" t="s">
        <v>982</v>
      </c>
      <c r="C642" s="1362" t="str">
        <f>"UKUPNO - "&amp;C456&amp;" (€):"</f>
        <v>UKUPNO - ZIDARSKI RADOVI (€):</v>
      </c>
      <c r="D642" s="1363"/>
      <c r="E642" s="1363"/>
      <c r="F642" s="1439"/>
      <c r="G642" s="1349">
        <f>SUM(G457:G641)</f>
        <v>0</v>
      </c>
      <c r="I642" s="1365"/>
    </row>
    <row r="643" spans="2:9" s="1364" customFormat="1">
      <c r="B643" s="1350"/>
      <c r="C643" s="1342"/>
      <c r="D643" s="1343"/>
      <c r="E643" s="1343"/>
      <c r="F643" s="62"/>
      <c r="G643" s="1351"/>
      <c r="I643" s="1365"/>
    </row>
    <row r="644" spans="2:9" s="1364" customFormat="1">
      <c r="B644" s="1350"/>
      <c r="C644" s="1355"/>
      <c r="D644" s="1343"/>
      <c r="E644" s="1343"/>
      <c r="F644" s="62"/>
      <c r="G644" s="1353"/>
      <c r="I644" s="1365"/>
    </row>
    <row r="645" spans="2:9">
      <c r="B645" s="1346" t="s">
        <v>3284</v>
      </c>
      <c r="C645" s="1347" t="s">
        <v>3285</v>
      </c>
      <c r="D645" s="1348"/>
      <c r="E645" s="1348"/>
      <c r="F645" s="1440"/>
      <c r="G645" s="1349"/>
    </row>
    <row r="646" spans="2:9" s="1364" customFormat="1">
      <c r="B646" s="1350"/>
      <c r="C646" s="1342"/>
      <c r="D646" s="1343"/>
      <c r="E646" s="1343"/>
      <c r="F646" s="62"/>
      <c r="G646" s="1351"/>
      <c r="I646" s="1365"/>
    </row>
    <row r="647" spans="2:9" s="1364" customFormat="1">
      <c r="B647" s="1350" t="s">
        <v>3286</v>
      </c>
      <c r="C647" s="1352" t="s">
        <v>3287</v>
      </c>
      <c r="D647" s="1343"/>
      <c r="E647" s="1343"/>
      <c r="F647" s="62"/>
      <c r="G647" s="1353"/>
      <c r="I647" s="1365"/>
    </row>
    <row r="648" spans="2:9" s="1364" customFormat="1">
      <c r="B648" s="1350"/>
      <c r="C648" s="1352" t="s">
        <v>3288</v>
      </c>
      <c r="D648" s="1343"/>
      <c r="E648" s="1343"/>
      <c r="F648" s="62"/>
      <c r="G648" s="1353"/>
      <c r="I648" s="1365"/>
    </row>
    <row r="649" spans="2:9" s="1364" customFormat="1" ht="38.25">
      <c r="B649" s="1350"/>
      <c r="C649" s="1352" t="s">
        <v>3289</v>
      </c>
      <c r="D649" s="1343"/>
      <c r="E649" s="1343"/>
      <c r="F649" s="62"/>
      <c r="G649" s="1353"/>
      <c r="I649" s="1365"/>
    </row>
    <row r="650" spans="2:9" s="1364" customFormat="1">
      <c r="B650" s="1350"/>
      <c r="C650" s="1352" t="s">
        <v>3290</v>
      </c>
      <c r="D650" s="1343"/>
      <c r="E650" s="1343"/>
      <c r="F650" s="62"/>
      <c r="G650" s="1353"/>
      <c r="I650" s="1365"/>
    </row>
    <row r="651" spans="2:9" s="1364" customFormat="1">
      <c r="B651" s="1350"/>
      <c r="C651" s="1352" t="s">
        <v>3291</v>
      </c>
      <c r="D651" s="1343"/>
      <c r="E651" s="1343"/>
      <c r="F651" s="62"/>
      <c r="G651" s="1353"/>
      <c r="I651" s="1365"/>
    </row>
    <row r="652" spans="2:9" s="1364" customFormat="1">
      <c r="B652" s="1350"/>
      <c r="C652" s="1397" t="s">
        <v>2955</v>
      </c>
      <c r="D652" s="1614" t="s">
        <v>34</v>
      </c>
      <c r="E652" s="1621">
        <v>2</v>
      </c>
      <c r="F652" s="62"/>
      <c r="G652" s="1353"/>
      <c r="I652" s="1365"/>
    </row>
    <row r="653" spans="2:9" s="1364" customFormat="1">
      <c r="B653" s="1350"/>
      <c r="C653" s="1613" t="s">
        <v>2956</v>
      </c>
      <c r="D653" s="1616" t="s">
        <v>34</v>
      </c>
      <c r="E653" s="1626">
        <v>4</v>
      </c>
      <c r="F653" s="64"/>
      <c r="I653" s="1365"/>
    </row>
    <row r="654" spans="2:9" s="1364" customFormat="1">
      <c r="B654" s="1350"/>
      <c r="C654" s="1352" t="s">
        <v>2957</v>
      </c>
      <c r="D654" s="1343" t="s">
        <v>34</v>
      </c>
      <c r="E654" s="1343">
        <f>SUM(E652:E653)</f>
        <v>6</v>
      </c>
      <c r="F654" s="62"/>
      <c r="G654" s="1353">
        <f t="shared" ref="G654" si="51">E654*F654</f>
        <v>0</v>
      </c>
      <c r="I654" s="1365"/>
    </row>
    <row r="655" spans="2:9" s="1364" customFormat="1">
      <c r="B655" s="1350"/>
      <c r="C655" s="1352"/>
      <c r="D655" s="1343"/>
      <c r="E655" s="1343"/>
      <c r="F655" s="62"/>
      <c r="G655" s="1353"/>
      <c r="I655" s="1365"/>
    </row>
    <row r="656" spans="2:9" s="1364" customFormat="1">
      <c r="B656" s="1350"/>
      <c r="C656" s="1352"/>
      <c r="D656" s="1343"/>
      <c r="E656" s="1343"/>
      <c r="F656" s="62"/>
      <c r="G656" s="1353"/>
      <c r="I656" s="1365"/>
    </row>
    <row r="657" spans="2:9" s="1364" customFormat="1">
      <c r="B657" s="1350" t="s">
        <v>3292</v>
      </c>
      <c r="C657" s="1352" t="s">
        <v>3293</v>
      </c>
      <c r="D657" s="1343"/>
      <c r="E657" s="1343"/>
      <c r="F657" s="62"/>
      <c r="G657" s="1353"/>
      <c r="I657" s="1365"/>
    </row>
    <row r="658" spans="2:9" s="1364" customFormat="1" ht="25.5">
      <c r="B658" s="1350"/>
      <c r="C658" s="1352" t="s">
        <v>3294</v>
      </c>
      <c r="D658" s="1343"/>
      <c r="E658" s="1343"/>
      <c r="F658" s="62"/>
      <c r="G658" s="1353"/>
      <c r="I658" s="1365"/>
    </row>
    <row r="659" spans="2:9" s="1364" customFormat="1" ht="25.5">
      <c r="B659" s="1350"/>
      <c r="C659" s="1352" t="s">
        <v>3295</v>
      </c>
      <c r="D659" s="1343"/>
      <c r="E659" s="1343"/>
      <c r="F659" s="62"/>
      <c r="G659" s="1353"/>
      <c r="I659" s="1365"/>
    </row>
    <row r="660" spans="2:9" s="1364" customFormat="1">
      <c r="B660" s="1350"/>
      <c r="C660" s="1352" t="s">
        <v>3290</v>
      </c>
      <c r="D660" s="1343"/>
      <c r="E660" s="1343"/>
      <c r="F660" s="62"/>
      <c r="G660" s="1353"/>
      <c r="I660" s="1365"/>
    </row>
    <row r="661" spans="2:9" s="1364" customFormat="1">
      <c r="B661" s="1350"/>
      <c r="C661" s="1352" t="s">
        <v>3291</v>
      </c>
      <c r="D661" s="1343"/>
      <c r="E661" s="1343"/>
      <c r="F661" s="62"/>
      <c r="G661" s="1353"/>
      <c r="I661" s="1365"/>
    </row>
    <row r="662" spans="2:9" s="1364" customFormat="1">
      <c r="B662" s="1350"/>
      <c r="C662" s="1397" t="s">
        <v>2955</v>
      </c>
      <c r="D662" s="1614" t="s">
        <v>34</v>
      </c>
      <c r="E662" s="1621">
        <v>4</v>
      </c>
      <c r="F662" s="62"/>
      <c r="G662" s="1353"/>
      <c r="I662" s="1365"/>
    </row>
    <row r="663" spans="2:9" s="1364" customFormat="1">
      <c r="B663" s="1350"/>
      <c r="C663" s="1613" t="s">
        <v>2956</v>
      </c>
      <c r="D663" s="1616" t="s">
        <v>34</v>
      </c>
      <c r="E663" s="1626">
        <v>2</v>
      </c>
      <c r="F663" s="64"/>
      <c r="I663" s="1365"/>
    </row>
    <row r="664" spans="2:9" s="1364" customFormat="1">
      <c r="B664" s="1350"/>
      <c r="C664" s="1352" t="s">
        <v>2957</v>
      </c>
      <c r="D664" s="1343" t="s">
        <v>34</v>
      </c>
      <c r="E664" s="1343">
        <f>SUM(E662:E663)</f>
        <v>6</v>
      </c>
      <c r="F664" s="62"/>
      <c r="G664" s="1353">
        <f t="shared" ref="G664" si="52">E664*F664</f>
        <v>0</v>
      </c>
      <c r="I664" s="1365"/>
    </row>
    <row r="665" spans="2:9" s="1364" customFormat="1">
      <c r="B665" s="1350"/>
      <c r="C665" s="1352"/>
      <c r="D665" s="1343"/>
      <c r="E665" s="1343"/>
      <c r="F665" s="62"/>
      <c r="G665" s="1353"/>
      <c r="I665" s="1365"/>
    </row>
    <row r="666" spans="2:9" s="1364" customFormat="1">
      <c r="B666" s="1350"/>
      <c r="C666" s="1352"/>
      <c r="D666" s="1343"/>
      <c r="E666" s="1343"/>
      <c r="F666" s="62"/>
      <c r="G666" s="1353"/>
      <c r="I666" s="1365"/>
    </row>
    <row r="667" spans="2:9" s="1364" customFormat="1">
      <c r="B667" s="1394" t="s">
        <v>3296</v>
      </c>
      <c r="C667" s="1352" t="s">
        <v>3297</v>
      </c>
      <c r="D667" s="1369"/>
      <c r="E667" s="1343"/>
      <c r="F667" s="63"/>
      <c r="G667" s="1353"/>
      <c r="I667" s="1365"/>
    </row>
    <row r="668" spans="2:9" s="1364" customFormat="1" ht="25.5">
      <c r="B668" s="1394"/>
      <c r="C668" s="1352" t="s">
        <v>3298</v>
      </c>
      <c r="D668" s="1369"/>
      <c r="E668" s="1343"/>
      <c r="F668" s="63"/>
      <c r="G668" s="1353"/>
      <c r="I668" s="1365"/>
    </row>
    <row r="669" spans="2:9" s="1364" customFormat="1" ht="51">
      <c r="B669" s="1394"/>
      <c r="C669" s="1352" t="s">
        <v>3299</v>
      </c>
      <c r="D669" s="1369"/>
      <c r="E669" s="1343"/>
      <c r="F669" s="63"/>
      <c r="G669" s="1353"/>
      <c r="I669" s="1365"/>
    </row>
    <row r="670" spans="2:9" s="1364" customFormat="1" ht="25.5">
      <c r="B670" s="1394"/>
      <c r="C670" s="1352" t="s">
        <v>3300</v>
      </c>
      <c r="D670" s="1369"/>
      <c r="E670" s="1343"/>
      <c r="F670" s="63"/>
      <c r="G670" s="1353"/>
      <c r="I670" s="1365"/>
    </row>
    <row r="671" spans="2:9" s="1364" customFormat="1">
      <c r="B671" s="1394"/>
      <c r="C671" s="1352"/>
      <c r="D671" s="1369" t="s">
        <v>82</v>
      </c>
      <c r="E671" s="1343">
        <v>1</v>
      </c>
      <c r="F671" s="63"/>
      <c r="G671" s="1353">
        <f t="shared" ref="G671" si="53">E671*F671</f>
        <v>0</v>
      </c>
      <c r="I671" s="1365"/>
    </row>
    <row r="672" spans="2:9" s="1364" customFormat="1">
      <c r="B672" s="1394"/>
      <c r="C672" s="1352"/>
      <c r="D672" s="1369"/>
      <c r="E672" s="1343"/>
      <c r="F672" s="63"/>
      <c r="G672" s="1353"/>
      <c r="I672" s="1365"/>
    </row>
    <row r="673" spans="2:9" s="1364" customFormat="1">
      <c r="B673" s="1350"/>
      <c r="C673" s="1352"/>
      <c r="D673" s="1343"/>
      <c r="E673" s="1343"/>
      <c r="F673" s="62"/>
      <c r="G673" s="1353"/>
      <c r="I673" s="1365"/>
    </row>
    <row r="674" spans="2:9" s="1364" customFormat="1">
      <c r="B674" s="1346" t="s">
        <v>3284</v>
      </c>
      <c r="C674" s="1362" t="str">
        <f>"UKUPNO - "&amp;C645&amp;" (€):"</f>
        <v>UKUPNO - PARKOVNA I KOMUNALNA OPREMA (€):</v>
      </c>
      <c r="D674" s="1363"/>
      <c r="E674" s="1363"/>
      <c r="F674" s="1439"/>
      <c r="G674" s="1349">
        <f>SUM(G646:G673)</f>
        <v>0</v>
      </c>
      <c r="I674" s="1365"/>
    </row>
    <row r="675" spans="2:9" s="1364" customFormat="1">
      <c r="B675" s="1350"/>
      <c r="C675" s="1395"/>
      <c r="D675" s="1385"/>
      <c r="E675" s="1385"/>
      <c r="F675" s="1442"/>
      <c r="G675" s="1351"/>
      <c r="I675" s="1365"/>
    </row>
    <row r="676" spans="2:9" s="1364" customFormat="1">
      <c r="B676" s="1350"/>
      <c r="C676" s="1342"/>
      <c r="D676" s="1343"/>
      <c r="E676" s="1343"/>
      <c r="F676" s="62"/>
      <c r="G676" s="1351"/>
      <c r="I676" s="1365"/>
    </row>
    <row r="677" spans="2:9">
      <c r="B677" s="1346" t="s">
        <v>3301</v>
      </c>
      <c r="C677" s="1347" t="s">
        <v>3302</v>
      </c>
      <c r="D677" s="1348"/>
      <c r="E677" s="1348"/>
      <c r="F677" s="1440"/>
      <c r="G677" s="1349"/>
    </row>
    <row r="678" spans="2:9" s="1364" customFormat="1">
      <c r="B678" s="1350"/>
      <c r="C678" s="1342"/>
      <c r="D678" s="1343"/>
      <c r="E678" s="1343"/>
      <c r="F678" s="62"/>
      <c r="G678" s="1351"/>
      <c r="I678" s="1365"/>
    </row>
    <row r="679" spans="2:9" s="1364" customFormat="1">
      <c r="B679" s="1350" t="s">
        <v>3303</v>
      </c>
      <c r="C679" s="1352" t="s">
        <v>3304</v>
      </c>
      <c r="D679" s="1343"/>
      <c r="E679" s="1343"/>
      <c r="F679" s="62"/>
      <c r="G679" s="1351"/>
      <c r="I679" s="1365"/>
    </row>
    <row r="680" spans="2:9" s="1364" customFormat="1">
      <c r="B680" s="1350"/>
      <c r="C680" s="1352" t="s">
        <v>3305</v>
      </c>
      <c r="D680" s="1343"/>
      <c r="E680" s="1343"/>
      <c r="F680" s="62"/>
      <c r="G680" s="1351"/>
      <c r="I680" s="1365"/>
    </row>
    <row r="681" spans="2:9" s="1364" customFormat="1" ht="25.5">
      <c r="B681" s="1350"/>
      <c r="C681" s="1352" t="s">
        <v>3306</v>
      </c>
      <c r="D681" s="1343"/>
      <c r="E681" s="1343"/>
      <c r="F681" s="62"/>
      <c r="G681" s="1351"/>
      <c r="I681" s="1365"/>
    </row>
    <row r="682" spans="2:9" s="1364" customFormat="1" ht="25.5">
      <c r="B682" s="1350"/>
      <c r="C682" s="1352" t="s">
        <v>3307</v>
      </c>
      <c r="D682" s="1343"/>
      <c r="E682" s="1343"/>
      <c r="F682" s="62"/>
      <c r="G682" s="1351"/>
      <c r="I682" s="1365"/>
    </row>
    <row r="683" spans="2:9" s="1364" customFormat="1">
      <c r="B683" s="1350"/>
      <c r="C683" s="1352" t="s">
        <v>3308</v>
      </c>
      <c r="D683" s="1343"/>
      <c r="E683" s="1343"/>
      <c r="F683" s="62"/>
      <c r="G683" s="1353"/>
      <c r="I683" s="1365"/>
    </row>
    <row r="684" spans="2:9" s="1364" customFormat="1">
      <c r="B684" s="1350"/>
      <c r="C684" s="1352" t="s">
        <v>2837</v>
      </c>
      <c r="D684" s="1343"/>
      <c r="E684" s="1343"/>
      <c r="F684" s="64"/>
      <c r="G684" s="1351"/>
      <c r="I684" s="1365"/>
    </row>
    <row r="685" spans="2:9" s="1364" customFormat="1">
      <c r="B685" s="1350"/>
      <c r="C685" s="1632" t="s">
        <v>3136</v>
      </c>
      <c r="D685" s="1615" t="s">
        <v>3277</v>
      </c>
      <c r="E685" s="1640">
        <v>51</v>
      </c>
      <c r="F685" s="62"/>
      <c r="G685" s="1351"/>
      <c r="I685" s="1365"/>
    </row>
    <row r="686" spans="2:9" s="1364" customFormat="1">
      <c r="B686" s="1350"/>
      <c r="C686" s="1632" t="s">
        <v>3137</v>
      </c>
      <c r="D686" s="1641" t="s">
        <v>3277</v>
      </c>
      <c r="E686" s="1640">
        <v>15.87</v>
      </c>
      <c r="F686" s="62"/>
      <c r="G686" s="1351"/>
      <c r="I686" s="1365"/>
    </row>
    <row r="687" spans="2:9" s="1364" customFormat="1">
      <c r="B687" s="1350"/>
      <c r="C687" s="1632" t="s">
        <v>3138</v>
      </c>
      <c r="D687" s="1641" t="s">
        <v>3277</v>
      </c>
      <c r="E687" s="1640">
        <v>27.69</v>
      </c>
      <c r="F687" s="62"/>
      <c r="G687" s="1351"/>
      <c r="I687" s="1365"/>
    </row>
    <row r="688" spans="2:9" s="1364" customFormat="1">
      <c r="B688" s="1350"/>
      <c r="C688" s="1632" t="s">
        <v>3139</v>
      </c>
      <c r="D688" s="1641" t="s">
        <v>3277</v>
      </c>
      <c r="E688" s="1640">
        <v>11.63</v>
      </c>
      <c r="F688" s="62"/>
      <c r="G688" s="1351"/>
      <c r="I688" s="1365"/>
    </row>
    <row r="689" spans="2:9" s="1364" customFormat="1">
      <c r="B689" s="1350"/>
      <c r="C689" s="1632" t="s">
        <v>3140</v>
      </c>
      <c r="D689" s="1641" t="s">
        <v>3277</v>
      </c>
      <c r="E689" s="1640">
        <v>11.65</v>
      </c>
      <c r="F689" s="62"/>
      <c r="G689" s="1351"/>
      <c r="I689" s="1365"/>
    </row>
    <row r="690" spans="2:9" s="1364" customFormat="1">
      <c r="B690" s="1350"/>
      <c r="C690" s="1633" t="s">
        <v>3141</v>
      </c>
      <c r="D690" s="1642" t="s">
        <v>3277</v>
      </c>
      <c r="E690" s="1643">
        <v>36.18</v>
      </c>
      <c r="F690" s="62"/>
      <c r="G690" s="1351"/>
      <c r="I690" s="1365"/>
    </row>
    <row r="691" spans="2:9" s="1364" customFormat="1">
      <c r="B691" s="1350"/>
      <c r="C691" s="1352" t="s">
        <v>2840</v>
      </c>
      <c r="D691" s="1343"/>
      <c r="E691" s="1343"/>
      <c r="F691" s="62"/>
      <c r="G691" s="1351"/>
      <c r="I691" s="1365"/>
    </row>
    <row r="692" spans="2:9" s="1364" customFormat="1">
      <c r="B692" s="1350"/>
      <c r="C692" s="1632" t="s">
        <v>3309</v>
      </c>
      <c r="D692" s="1641" t="s">
        <v>3277</v>
      </c>
      <c r="E692" s="1640">
        <f>3.1+3.1</f>
        <v>6.2</v>
      </c>
      <c r="F692" s="62"/>
      <c r="G692" s="1351"/>
      <c r="I692" s="1365"/>
    </row>
    <row r="693" spans="2:9" s="1364" customFormat="1">
      <c r="B693" s="1350"/>
      <c r="C693" s="1632" t="s">
        <v>3310</v>
      </c>
      <c r="D693" s="1641" t="s">
        <v>3277</v>
      </c>
      <c r="E693" s="1640">
        <f>2*0.79</f>
        <v>1.58</v>
      </c>
      <c r="F693" s="62"/>
      <c r="G693" s="1351"/>
      <c r="I693" s="1365"/>
    </row>
    <row r="694" spans="2:9" s="1364" customFormat="1">
      <c r="B694" s="1350"/>
      <c r="C694" s="1632" t="s">
        <v>3137</v>
      </c>
      <c r="D694" s="1641" t="s">
        <v>3277</v>
      </c>
      <c r="E694" s="1640">
        <v>86.06</v>
      </c>
      <c r="F694" s="62"/>
      <c r="G694" s="1351"/>
      <c r="I694" s="1365"/>
    </row>
    <row r="695" spans="2:9" s="1364" customFormat="1">
      <c r="B695" s="1350"/>
      <c r="C695" s="1632" t="s">
        <v>3311</v>
      </c>
      <c r="D695" s="1641" t="s">
        <v>3277</v>
      </c>
      <c r="E695" s="1640">
        <v>2.12</v>
      </c>
      <c r="F695" s="62"/>
      <c r="G695" s="1351"/>
      <c r="I695" s="1365"/>
    </row>
    <row r="696" spans="2:9" s="1364" customFormat="1">
      <c r="B696" s="1350"/>
      <c r="C696" s="1632" t="s">
        <v>3139</v>
      </c>
      <c r="D696" s="1641" t="s">
        <v>3277</v>
      </c>
      <c r="E696" s="1640">
        <v>16.78</v>
      </c>
      <c r="F696" s="62"/>
      <c r="G696" s="1351"/>
      <c r="I696" s="1365"/>
    </row>
    <row r="697" spans="2:9" s="1364" customFormat="1">
      <c r="B697" s="1350"/>
      <c r="C697" s="1632" t="s">
        <v>3312</v>
      </c>
      <c r="D697" s="1641" t="s">
        <v>3277</v>
      </c>
      <c r="E697" s="1640">
        <v>55</v>
      </c>
      <c r="F697" s="62"/>
      <c r="G697" s="1351"/>
      <c r="I697" s="1365"/>
    </row>
    <row r="698" spans="2:9" s="1364" customFormat="1">
      <c r="B698" s="1350"/>
      <c r="C698" s="1632" t="s">
        <v>3313</v>
      </c>
      <c r="D698" s="1641" t="s">
        <v>3277</v>
      </c>
      <c r="E698" s="1640">
        <v>43.42</v>
      </c>
      <c r="F698" s="62"/>
      <c r="G698" s="1351"/>
      <c r="I698" s="1365"/>
    </row>
    <row r="699" spans="2:9" s="1364" customFormat="1" ht="13.5" thickBot="1">
      <c r="B699" s="1350"/>
      <c r="C699" s="1635" t="s">
        <v>3140</v>
      </c>
      <c r="D699" s="1644" t="s">
        <v>3277</v>
      </c>
      <c r="E699" s="1645">
        <v>81</v>
      </c>
      <c r="F699" s="62"/>
      <c r="G699" s="1351"/>
      <c r="I699" s="1365"/>
    </row>
    <row r="700" spans="2:9" s="1364" customFormat="1" ht="13.5" thickTop="1">
      <c r="B700" s="1350"/>
      <c r="C700" s="1352"/>
      <c r="D700" s="1343" t="s">
        <v>3253</v>
      </c>
      <c r="E700" s="1343">
        <f>(SUM(E685:E699))*0.2</f>
        <v>89.24</v>
      </c>
      <c r="F700" s="62"/>
      <c r="G700" s="1353">
        <f t="shared" ref="G700" si="54">E700*F700</f>
        <v>0</v>
      </c>
      <c r="I700" s="1365"/>
    </row>
    <row r="701" spans="2:9" s="1364" customFormat="1">
      <c r="B701" s="1350"/>
      <c r="C701" s="1352"/>
      <c r="D701" s="1343"/>
      <c r="E701" s="1343"/>
      <c r="F701" s="62"/>
      <c r="G701" s="1351"/>
      <c r="I701" s="1365"/>
    </row>
    <row r="702" spans="2:9" s="1364" customFormat="1">
      <c r="B702" s="1350"/>
      <c r="C702" s="1352"/>
      <c r="D702" s="1343"/>
      <c r="E702" s="1343"/>
      <c r="F702" s="62"/>
      <c r="G702" s="1351"/>
      <c r="I702" s="1365"/>
    </row>
    <row r="703" spans="2:9" s="1364" customFormat="1">
      <c r="B703" s="1396" t="s">
        <v>3314</v>
      </c>
      <c r="C703" s="1376" t="s">
        <v>3315</v>
      </c>
      <c r="D703" s="1343"/>
      <c r="E703" s="1343"/>
      <c r="F703" s="62"/>
      <c r="G703" s="1351"/>
      <c r="I703" s="1365"/>
    </row>
    <row r="704" spans="2:9" s="1364" customFormat="1" ht="25.5">
      <c r="B704" s="1396"/>
      <c r="C704" s="1376" t="s">
        <v>3316</v>
      </c>
      <c r="D704" s="1343"/>
      <c r="E704" s="1343"/>
      <c r="F704" s="62"/>
      <c r="G704" s="1351"/>
      <c r="I704" s="1365"/>
    </row>
    <row r="705" spans="2:9" s="1364" customFormat="1" ht="25.5">
      <c r="B705" s="1396"/>
      <c r="C705" s="1376" t="s">
        <v>3317</v>
      </c>
      <c r="D705" s="1343"/>
      <c r="E705" s="1356"/>
      <c r="F705" s="62"/>
      <c r="G705" s="1351"/>
      <c r="I705" s="1365"/>
    </row>
    <row r="706" spans="2:9">
      <c r="B706" s="1396"/>
      <c r="C706" s="1352" t="s">
        <v>3318</v>
      </c>
      <c r="F706" s="62"/>
      <c r="G706" s="1353"/>
    </row>
    <row r="707" spans="2:9" ht="14.25">
      <c r="B707" s="1396"/>
      <c r="C707" s="1352" t="s">
        <v>3319</v>
      </c>
      <c r="D707" s="1369" t="s">
        <v>2871</v>
      </c>
      <c r="E707" s="1369">
        <f>E700*1.3</f>
        <v>116.01</v>
      </c>
      <c r="F707" s="62"/>
      <c r="G707" s="1353">
        <f t="shared" ref="G707" si="55">E707*F707</f>
        <v>0</v>
      </c>
    </row>
    <row r="708" spans="2:9" s="1364" customFormat="1">
      <c r="B708" s="1374"/>
      <c r="C708" s="1355"/>
      <c r="F708" s="64"/>
      <c r="I708" s="1365"/>
    </row>
    <row r="709" spans="2:9">
      <c r="B709" s="1396"/>
      <c r="C709" s="1397"/>
      <c r="F709" s="62"/>
      <c r="G709" s="1353"/>
    </row>
    <row r="710" spans="2:9" s="1364" customFormat="1">
      <c r="B710" s="1396" t="s">
        <v>3320</v>
      </c>
      <c r="C710" s="1398" t="s">
        <v>3321</v>
      </c>
      <c r="D710" s="1343"/>
      <c r="E710" s="1343"/>
      <c r="F710" s="62"/>
      <c r="G710" s="1351"/>
      <c r="I710" s="1365"/>
    </row>
    <row r="711" spans="2:9" s="1364" customFormat="1" ht="51">
      <c r="B711" s="1396"/>
      <c r="C711" s="1376" t="s">
        <v>3322</v>
      </c>
      <c r="D711" s="1343"/>
      <c r="E711" s="1343"/>
      <c r="F711" s="62"/>
      <c r="G711" s="1351"/>
      <c r="I711" s="1365"/>
    </row>
    <row r="712" spans="2:9" s="1364" customFormat="1">
      <c r="B712" s="1374"/>
      <c r="C712" s="1355"/>
      <c r="D712" s="1343" t="s">
        <v>3323</v>
      </c>
      <c r="E712" s="1343">
        <f>E707*5%*1000</f>
        <v>5800.5</v>
      </c>
      <c r="F712" s="62"/>
      <c r="G712" s="1353">
        <f t="shared" ref="G712" si="56">E712*F712</f>
        <v>0</v>
      </c>
      <c r="I712" s="1365"/>
    </row>
    <row r="713" spans="2:9" s="1364" customFormat="1">
      <c r="B713" s="1350"/>
      <c r="C713" s="1342"/>
      <c r="D713" s="1343"/>
      <c r="E713" s="1343"/>
      <c r="F713" s="62"/>
      <c r="G713" s="1351"/>
      <c r="I713" s="1365"/>
    </row>
    <row r="714" spans="2:9" s="1364" customFormat="1">
      <c r="B714" s="1350"/>
      <c r="C714" s="1342"/>
      <c r="D714" s="1343"/>
      <c r="E714" s="1343"/>
      <c r="F714" s="62"/>
      <c r="G714" s="1351"/>
      <c r="I714" s="1365"/>
    </row>
    <row r="715" spans="2:9" s="1364" customFormat="1">
      <c r="B715" s="1346" t="s">
        <v>3301</v>
      </c>
      <c r="C715" s="1362" t="str">
        <f>"UKUPNO - "&amp;C677&amp;" (€):"</f>
        <v>UKUPNO - SADNJA / ZEMLJA (€):</v>
      </c>
      <c r="D715" s="1363"/>
      <c r="E715" s="1363"/>
      <c r="F715" s="1439"/>
      <c r="G715" s="1349">
        <f>SUM(G677:G714)</f>
        <v>0</v>
      </c>
      <c r="I715" s="1365"/>
    </row>
    <row r="716" spans="2:9" s="1364" customFormat="1">
      <c r="B716" s="1350"/>
      <c r="C716" s="1342"/>
      <c r="D716" s="1343"/>
      <c r="E716" s="1343"/>
      <c r="F716" s="62"/>
      <c r="G716" s="1351"/>
      <c r="I716" s="1365"/>
    </row>
    <row r="717" spans="2:9">
      <c r="B717" s="1346" t="s">
        <v>3324</v>
      </c>
      <c r="C717" s="1347" t="s">
        <v>3325</v>
      </c>
      <c r="D717" s="1348"/>
      <c r="E717" s="1348"/>
      <c r="F717" s="1440"/>
      <c r="G717" s="1349"/>
    </row>
    <row r="718" spans="2:9" s="1364" customFormat="1">
      <c r="B718" s="1350"/>
      <c r="C718" s="1342"/>
      <c r="D718" s="1343"/>
      <c r="E718" s="1343"/>
      <c r="F718" s="62"/>
      <c r="G718" s="1351"/>
      <c r="I718" s="1365"/>
    </row>
    <row r="719" spans="2:9" s="1364" customFormat="1">
      <c r="B719" s="1396" t="s">
        <v>3326</v>
      </c>
      <c r="C719" s="1376" t="s">
        <v>3327</v>
      </c>
      <c r="D719" s="1343"/>
      <c r="E719" s="1343"/>
      <c r="F719" s="62"/>
      <c r="G719" s="1351"/>
      <c r="I719" s="1365"/>
    </row>
    <row r="720" spans="2:9" s="1364" customFormat="1" ht="76.5">
      <c r="B720" s="1396"/>
      <c r="C720" s="1376" t="s">
        <v>3328</v>
      </c>
      <c r="D720" s="1343"/>
      <c r="E720" s="1343"/>
      <c r="F720" s="62"/>
      <c r="G720" s="1351"/>
      <c r="I720" s="1365"/>
    </row>
    <row r="721" spans="2:9" s="1364" customFormat="1">
      <c r="B721" s="1396"/>
      <c r="C721" s="1376" t="s">
        <v>2840</v>
      </c>
      <c r="D721" s="1343"/>
      <c r="E721" s="1343"/>
      <c r="F721" s="62"/>
      <c r="G721" s="1351"/>
      <c r="I721" s="1365"/>
    </row>
    <row r="722" spans="2:9" s="1364" customFormat="1">
      <c r="B722" s="1396"/>
      <c r="C722" s="1376" t="s">
        <v>3329</v>
      </c>
      <c r="D722" s="1343" t="s">
        <v>34</v>
      </c>
      <c r="E722" s="1343">
        <v>2</v>
      </c>
      <c r="F722" s="62"/>
      <c r="G722" s="1353">
        <f>E722*F722</f>
        <v>0</v>
      </c>
      <c r="I722" s="1365"/>
    </row>
    <row r="723" spans="2:9" s="1364" customFormat="1">
      <c r="B723" s="1396"/>
      <c r="C723" s="1376"/>
      <c r="D723" s="1343"/>
      <c r="E723" s="1343"/>
      <c r="F723" s="62"/>
      <c r="G723" s="1351"/>
      <c r="I723" s="1365"/>
    </row>
    <row r="724" spans="2:9">
      <c r="B724" s="1396"/>
      <c r="F724" s="62"/>
      <c r="G724" s="1353"/>
    </row>
    <row r="725" spans="2:9" s="1364" customFormat="1">
      <c r="B725" s="1396" t="s">
        <v>3330</v>
      </c>
      <c r="C725" s="1376" t="s">
        <v>3331</v>
      </c>
      <c r="D725" s="1343"/>
      <c r="E725" s="1343"/>
      <c r="F725" s="62"/>
      <c r="G725" s="1351"/>
      <c r="I725" s="1365"/>
    </row>
    <row r="726" spans="2:9" s="1364" customFormat="1" ht="63.75">
      <c r="B726" s="1396"/>
      <c r="C726" s="1376" t="s">
        <v>3332</v>
      </c>
      <c r="D726" s="1343"/>
      <c r="E726" s="1343"/>
      <c r="F726" s="62"/>
      <c r="G726" s="1351"/>
      <c r="I726" s="1365"/>
    </row>
    <row r="727" spans="2:9" s="1364" customFormat="1">
      <c r="B727" s="1396"/>
      <c r="C727" s="1376" t="s">
        <v>2840</v>
      </c>
      <c r="D727" s="1343"/>
      <c r="E727" s="1343"/>
      <c r="F727" s="62"/>
      <c r="G727" s="1351"/>
      <c r="I727" s="1365"/>
    </row>
    <row r="728" spans="2:9" s="1364" customFormat="1">
      <c r="B728" s="1396"/>
      <c r="C728" s="1376" t="s">
        <v>3333</v>
      </c>
      <c r="D728" s="1343" t="s">
        <v>34</v>
      </c>
      <c r="E728" s="1343">
        <v>4</v>
      </c>
      <c r="F728" s="62"/>
      <c r="G728" s="1353">
        <f>E728*F728</f>
        <v>0</v>
      </c>
      <c r="I728" s="1365"/>
    </row>
    <row r="729" spans="2:9">
      <c r="B729" s="1396"/>
      <c r="F729" s="62"/>
      <c r="G729" s="1353"/>
    </row>
    <row r="730" spans="2:9">
      <c r="B730" s="1396"/>
      <c r="F730" s="62"/>
      <c r="G730" s="1353"/>
    </row>
    <row r="731" spans="2:9">
      <c r="B731" s="1396" t="s">
        <v>3334</v>
      </c>
      <c r="C731" s="1376" t="s">
        <v>3335</v>
      </c>
      <c r="F731" s="62"/>
      <c r="G731" s="1353"/>
    </row>
    <row r="732" spans="2:9" ht="25.5">
      <c r="B732" s="1396"/>
      <c r="C732" s="1352" t="s">
        <v>3336</v>
      </c>
      <c r="F732" s="62"/>
      <c r="G732" s="1353"/>
    </row>
    <row r="733" spans="2:9">
      <c r="B733" s="1396"/>
      <c r="D733" s="1343" t="s">
        <v>34</v>
      </c>
      <c r="E733" s="1343">
        <f>(E722+E728)*3</f>
        <v>18</v>
      </c>
      <c r="F733" s="62"/>
      <c r="G733" s="1353">
        <f t="shared" ref="G733" si="57">E733*F733</f>
        <v>0</v>
      </c>
    </row>
    <row r="734" spans="2:9">
      <c r="B734" s="1396"/>
      <c r="F734" s="62"/>
      <c r="G734" s="1353"/>
    </row>
    <row r="735" spans="2:9">
      <c r="B735" s="1396" t="s">
        <v>3337</v>
      </c>
      <c r="C735" s="1376" t="s">
        <v>3338</v>
      </c>
      <c r="F735" s="62"/>
      <c r="G735" s="1353"/>
    </row>
    <row r="736" spans="2:9">
      <c r="B736" s="1396"/>
      <c r="C736" s="1352" t="s">
        <v>3339</v>
      </c>
      <c r="F736" s="62"/>
      <c r="G736" s="1353"/>
    </row>
    <row r="737" spans="2:9">
      <c r="B737" s="1399"/>
      <c r="D737" s="1369" t="s">
        <v>1184</v>
      </c>
      <c r="E737" s="1369">
        <f>(E722+E728)*1.5</f>
        <v>9</v>
      </c>
      <c r="F737" s="63"/>
      <c r="G737" s="1353">
        <f t="shared" ref="G737" si="58">E737*F737</f>
        <v>0</v>
      </c>
    </row>
    <row r="738" spans="2:9">
      <c r="B738" s="1396"/>
      <c r="F738" s="62"/>
      <c r="G738" s="1353"/>
    </row>
    <row r="739" spans="2:9">
      <c r="B739" s="1396" t="s">
        <v>3340</v>
      </c>
      <c r="C739" s="1352" t="s">
        <v>3341</v>
      </c>
      <c r="F739" s="62"/>
      <c r="G739" s="1353"/>
    </row>
    <row r="740" spans="2:9">
      <c r="B740" s="1396"/>
      <c r="C740" s="1352" t="s">
        <v>3342</v>
      </c>
      <c r="F740" s="62"/>
      <c r="G740" s="1353"/>
    </row>
    <row r="741" spans="2:9" s="1364" customFormat="1" ht="25.5">
      <c r="B741" s="1396"/>
      <c r="C741" s="1345" t="s">
        <v>3343</v>
      </c>
      <c r="D741" s="1343"/>
      <c r="E741" s="1343"/>
      <c r="F741" s="62"/>
      <c r="G741" s="1353"/>
      <c r="I741" s="1365"/>
    </row>
    <row r="742" spans="2:9">
      <c r="B742" s="1396"/>
      <c r="C742" s="1352" t="s">
        <v>3344</v>
      </c>
      <c r="F742" s="62"/>
      <c r="G742" s="1353"/>
    </row>
    <row r="743" spans="2:9">
      <c r="B743" s="1396"/>
      <c r="C743" s="1352" t="s">
        <v>3345</v>
      </c>
      <c r="F743" s="62"/>
      <c r="G743" s="1353"/>
    </row>
    <row r="744" spans="2:9" ht="63.75">
      <c r="B744" s="1396"/>
      <c r="C744" s="1352" t="s">
        <v>3346</v>
      </c>
      <c r="F744" s="62"/>
      <c r="G744" s="1353"/>
    </row>
    <row r="745" spans="2:9" s="1364" customFormat="1" ht="25.5">
      <c r="B745" s="1396"/>
      <c r="C745" s="1376" t="s">
        <v>3347</v>
      </c>
      <c r="D745" s="1343"/>
      <c r="E745" s="1343"/>
      <c r="F745" s="62"/>
      <c r="G745" s="1351"/>
      <c r="I745" s="1365"/>
    </row>
    <row r="746" spans="2:9" s="1364" customFormat="1" ht="25.5">
      <c r="B746" s="1396"/>
      <c r="C746" s="1376" t="s">
        <v>3348</v>
      </c>
      <c r="D746" s="1343"/>
      <c r="E746" s="1343"/>
      <c r="F746" s="62"/>
      <c r="G746" s="1351"/>
      <c r="I746" s="1365"/>
    </row>
    <row r="747" spans="2:9">
      <c r="B747" s="1399"/>
      <c r="C747" s="1397"/>
      <c r="D747" s="1369" t="s">
        <v>34</v>
      </c>
      <c r="E747" s="1369">
        <f>E722+E728</f>
        <v>6</v>
      </c>
      <c r="F747" s="63"/>
      <c r="G747" s="1353">
        <f t="shared" ref="G747" si="59">E747*F747</f>
        <v>0</v>
      </c>
    </row>
    <row r="748" spans="2:9" s="1364" customFormat="1">
      <c r="B748" s="1350"/>
      <c r="C748" s="1342"/>
      <c r="D748" s="1343"/>
      <c r="E748" s="1343"/>
      <c r="F748" s="62"/>
      <c r="G748" s="1351"/>
      <c r="I748" s="1365"/>
    </row>
    <row r="749" spans="2:9" s="1364" customFormat="1">
      <c r="B749" s="1346" t="s">
        <v>3324</v>
      </c>
      <c r="C749" s="1362" t="str">
        <f>"UKUPNO - "&amp;C717&amp;" (€):"</f>
        <v>UKUPNO - SADNJA DRVEĆA (€):</v>
      </c>
      <c r="D749" s="1363"/>
      <c r="E749" s="1363"/>
      <c r="F749" s="1439"/>
      <c r="G749" s="1349">
        <f>SUM(G717:G748)</f>
        <v>0</v>
      </c>
      <c r="I749" s="1365"/>
    </row>
    <row r="750" spans="2:9" s="1364" customFormat="1">
      <c r="B750" s="1350"/>
      <c r="C750" s="1342"/>
      <c r="D750" s="1343"/>
      <c r="E750" s="1343"/>
      <c r="F750" s="62"/>
      <c r="G750" s="1351"/>
      <c r="I750" s="1365"/>
    </row>
    <row r="751" spans="2:9">
      <c r="B751" s="1346" t="s">
        <v>3349</v>
      </c>
      <c r="C751" s="1347" t="s">
        <v>3350</v>
      </c>
      <c r="D751" s="1348"/>
      <c r="E751" s="1348"/>
      <c r="F751" s="1440"/>
      <c r="G751" s="1349"/>
    </row>
    <row r="752" spans="2:9" s="1364" customFormat="1">
      <c r="B752" s="1350"/>
      <c r="C752" s="1342"/>
      <c r="D752" s="1343"/>
      <c r="E752" s="1343"/>
      <c r="F752" s="62"/>
      <c r="G752" s="1351"/>
      <c r="I752" s="1365"/>
    </row>
    <row r="753" spans="2:9" s="1364" customFormat="1">
      <c r="B753" s="1396" t="s">
        <v>3351</v>
      </c>
      <c r="C753" s="1352" t="s">
        <v>3352</v>
      </c>
      <c r="D753" s="1343"/>
      <c r="E753" s="1343"/>
      <c r="F753" s="62"/>
      <c r="G753" s="1353"/>
      <c r="I753" s="1365"/>
    </row>
    <row r="754" spans="2:9" s="1364" customFormat="1" ht="51">
      <c r="B754" s="1396"/>
      <c r="C754" s="1355" t="s">
        <v>3353</v>
      </c>
      <c r="D754" s="1343"/>
      <c r="E754" s="1343"/>
      <c r="F754" s="62"/>
      <c r="G754" s="1353"/>
      <c r="I754" s="1368"/>
    </row>
    <row r="755" spans="2:9" s="1364" customFormat="1">
      <c r="B755" s="1396"/>
      <c r="C755" s="1355" t="s">
        <v>2837</v>
      </c>
      <c r="D755" s="1343"/>
      <c r="E755" s="1343"/>
      <c r="F755" s="62"/>
      <c r="G755" s="1353"/>
      <c r="I755" s="1368"/>
    </row>
    <row r="756" spans="2:9" s="1364" customFormat="1">
      <c r="B756" s="1396"/>
      <c r="C756" s="1405" t="s">
        <v>3137</v>
      </c>
      <c r="D756" s="1614" t="s">
        <v>34</v>
      </c>
      <c r="E756" s="1614">
        <v>53</v>
      </c>
      <c r="F756" s="62"/>
      <c r="G756" s="1353"/>
      <c r="I756" s="1368"/>
    </row>
    <row r="757" spans="2:9" s="1364" customFormat="1">
      <c r="B757" s="1396"/>
      <c r="C757" s="1400" t="s">
        <v>3138</v>
      </c>
      <c r="D757" s="1614" t="s">
        <v>34</v>
      </c>
      <c r="E757" s="1614">
        <v>149</v>
      </c>
      <c r="F757" s="62"/>
      <c r="G757" s="1353"/>
      <c r="I757" s="1368"/>
    </row>
    <row r="758" spans="2:9" s="1364" customFormat="1">
      <c r="B758" s="1396"/>
      <c r="C758" s="1400" t="s">
        <v>3139</v>
      </c>
      <c r="D758" s="1614" t="s">
        <v>34</v>
      </c>
      <c r="E758" s="1614">
        <v>95</v>
      </c>
      <c r="F758" s="62"/>
      <c r="G758" s="1353"/>
      <c r="I758" s="1368"/>
    </row>
    <row r="759" spans="2:9" s="1364" customFormat="1">
      <c r="B759" s="1396"/>
      <c r="C759" s="1400" t="s">
        <v>3140</v>
      </c>
      <c r="D759" s="1614" t="s">
        <v>34</v>
      </c>
      <c r="E759" s="1614">
        <v>95</v>
      </c>
      <c r="F759" s="62"/>
      <c r="G759" s="1353"/>
      <c r="I759" s="1368"/>
    </row>
    <row r="760" spans="2:9" s="1364" customFormat="1">
      <c r="B760" s="1396"/>
      <c r="C760" s="1646" t="s">
        <v>3140</v>
      </c>
      <c r="D760" s="1616" t="s">
        <v>34</v>
      </c>
      <c r="E760" s="1616">
        <v>174</v>
      </c>
      <c r="F760" s="62"/>
      <c r="G760" s="1353"/>
      <c r="I760" s="1368"/>
    </row>
    <row r="761" spans="2:9" s="1364" customFormat="1">
      <c r="B761" s="1396"/>
      <c r="C761" s="1400" t="s">
        <v>3354</v>
      </c>
      <c r="D761" s="1343" t="s">
        <v>34</v>
      </c>
      <c r="E761" s="1343">
        <f>SUM(E756:E760)</f>
        <v>566</v>
      </c>
      <c r="F761" s="62"/>
      <c r="G761" s="1353">
        <f t="shared" ref="G761" si="60">E761*F761</f>
        <v>0</v>
      </c>
      <c r="I761" s="1368"/>
    </row>
    <row r="762" spans="2:9" s="1364" customFormat="1">
      <c r="B762" s="1396"/>
      <c r="C762" s="1355"/>
      <c r="D762" s="1343"/>
      <c r="E762" s="1343"/>
      <c r="F762" s="62"/>
      <c r="G762" s="1353"/>
      <c r="I762" s="1368"/>
    </row>
    <row r="763" spans="2:9">
      <c r="B763" s="1396"/>
      <c r="F763" s="62"/>
      <c r="G763" s="1353"/>
    </row>
    <row r="764" spans="2:9" s="1364" customFormat="1">
      <c r="B764" s="1396" t="s">
        <v>3355</v>
      </c>
      <c r="C764" s="1345" t="s">
        <v>3356</v>
      </c>
      <c r="D764" s="1385"/>
      <c r="E764" s="1385"/>
      <c r="F764" s="1442"/>
      <c r="G764" s="1351"/>
      <c r="I764" s="1365"/>
    </row>
    <row r="765" spans="2:9" s="1364" customFormat="1" ht="25.5">
      <c r="B765" s="1396"/>
      <c r="C765" s="1345" t="s">
        <v>3357</v>
      </c>
      <c r="D765" s="1343"/>
      <c r="E765" s="1401"/>
      <c r="F765" s="62"/>
      <c r="G765" s="1353"/>
      <c r="I765" s="1365"/>
    </row>
    <row r="766" spans="2:9" s="1364" customFormat="1" ht="25.5">
      <c r="B766" s="1396"/>
      <c r="C766" s="1345" t="s">
        <v>3358</v>
      </c>
      <c r="D766" s="1343"/>
      <c r="E766" s="1343"/>
      <c r="F766" s="62"/>
      <c r="G766" s="1353"/>
      <c r="I766" s="1365"/>
    </row>
    <row r="767" spans="2:9" s="1364" customFormat="1">
      <c r="B767" s="1396"/>
      <c r="C767" s="1345" t="s">
        <v>3359</v>
      </c>
      <c r="D767" s="1343"/>
      <c r="E767" s="1343"/>
      <c r="F767" s="62"/>
      <c r="G767" s="1353"/>
      <c r="I767" s="1365"/>
    </row>
    <row r="768" spans="2:9" s="1364" customFormat="1" ht="63.75">
      <c r="B768" s="1396"/>
      <c r="C768" s="1355" t="s">
        <v>3360</v>
      </c>
      <c r="D768" s="1343"/>
      <c r="E768" s="1401"/>
      <c r="F768" s="62"/>
      <c r="G768" s="1353"/>
      <c r="I768" s="1365"/>
    </row>
    <row r="769" spans="2:9" s="1364" customFormat="1" ht="25.5">
      <c r="B769" s="1396"/>
      <c r="C769" s="1345" t="s">
        <v>3361</v>
      </c>
      <c r="D769" s="1343"/>
      <c r="E769" s="1343"/>
      <c r="F769" s="62"/>
      <c r="G769" s="1353"/>
      <c r="I769" s="1365"/>
    </row>
    <row r="770" spans="2:9" s="1364" customFormat="1">
      <c r="B770" s="1396"/>
      <c r="C770" s="1612" t="s">
        <v>2837</v>
      </c>
      <c r="D770" s="1616" t="s">
        <v>34</v>
      </c>
      <c r="E770" s="1616">
        <f>E761</f>
        <v>566</v>
      </c>
      <c r="F770" s="63"/>
      <c r="G770" s="1353"/>
      <c r="I770" s="1365"/>
    </row>
    <row r="771" spans="2:9">
      <c r="B771" s="1402"/>
      <c r="C771" s="1383" t="s">
        <v>3362</v>
      </c>
      <c r="D771" s="1339" t="s">
        <v>1184</v>
      </c>
      <c r="E771" s="1339">
        <f>10.5+29.8+14.9+14.7+34.8</f>
        <v>104.7</v>
      </c>
      <c r="F771" s="1443"/>
      <c r="G771" s="1353">
        <f t="shared" ref="G771" si="61">E771*F771</f>
        <v>0</v>
      </c>
    </row>
    <row r="772" spans="2:9" s="1364" customFormat="1">
      <c r="B772" s="1350"/>
      <c r="C772" s="1342"/>
      <c r="D772" s="1343"/>
      <c r="E772" s="1343"/>
      <c r="F772" s="62"/>
      <c r="G772" s="1351"/>
      <c r="I772" s="1365"/>
    </row>
    <row r="773" spans="2:9" s="1364" customFormat="1">
      <c r="B773" s="1346" t="s">
        <v>3349</v>
      </c>
      <c r="C773" s="1362" t="str">
        <f>"UKUPNO - "&amp;C751&amp;" (€):"</f>
        <v>UKUPNO - SADNJA ŽIVICE (€):</v>
      </c>
      <c r="D773" s="1363"/>
      <c r="E773" s="1363"/>
      <c r="F773" s="1439"/>
      <c r="G773" s="1349">
        <f>SUM(G751:G772)</f>
        <v>0</v>
      </c>
      <c r="I773" s="1365"/>
    </row>
    <row r="774" spans="2:9" s="1364" customFormat="1">
      <c r="B774" s="1350"/>
      <c r="C774" s="1342"/>
      <c r="D774" s="1343"/>
      <c r="E774" s="1343"/>
      <c r="F774" s="62"/>
      <c r="G774" s="1351"/>
      <c r="I774" s="1365"/>
    </row>
    <row r="775" spans="2:9">
      <c r="B775" s="1346" t="s">
        <v>3363</v>
      </c>
      <c r="C775" s="1347" t="s">
        <v>3364</v>
      </c>
      <c r="D775" s="1348"/>
      <c r="E775" s="1348"/>
      <c r="F775" s="1440"/>
      <c r="G775" s="1349"/>
    </row>
    <row r="776" spans="2:9" s="1364" customFormat="1">
      <c r="B776" s="1350"/>
      <c r="C776" s="1342"/>
      <c r="D776" s="1343"/>
      <c r="E776" s="1343"/>
      <c r="F776" s="62"/>
      <c r="G776" s="1351"/>
      <c r="I776" s="1365"/>
    </row>
    <row r="777" spans="2:9" s="1364" customFormat="1">
      <c r="B777" s="1396" t="s">
        <v>3365</v>
      </c>
      <c r="C777" s="1352" t="s">
        <v>3366</v>
      </c>
      <c r="D777" s="1343"/>
      <c r="E777" s="1343"/>
      <c r="F777" s="62"/>
      <c r="G777" s="1353"/>
      <c r="I777" s="1365"/>
    </row>
    <row r="778" spans="2:9" s="1364" customFormat="1" ht="51">
      <c r="B778" s="1396"/>
      <c r="C778" s="1355" t="s">
        <v>3367</v>
      </c>
      <c r="D778" s="1343"/>
      <c r="E778" s="1343"/>
      <c r="F778" s="62"/>
      <c r="G778" s="1353"/>
      <c r="I778" s="1368"/>
    </row>
    <row r="779" spans="2:9" s="1364" customFormat="1">
      <c r="B779" s="1396"/>
      <c r="C779" s="1612" t="s">
        <v>2840</v>
      </c>
      <c r="D779" s="1616" t="s">
        <v>34</v>
      </c>
      <c r="E779" s="1616">
        <v>4</v>
      </c>
      <c r="F779" s="62"/>
      <c r="G779" s="1353"/>
      <c r="I779" s="1368"/>
    </row>
    <row r="780" spans="2:9">
      <c r="B780" s="1402"/>
      <c r="C780" s="1355" t="s">
        <v>3368</v>
      </c>
      <c r="D780" s="1369" t="s">
        <v>34</v>
      </c>
      <c r="E780" s="1369">
        <f>SUM(E778:E779)</f>
        <v>4</v>
      </c>
      <c r="F780" s="63"/>
      <c r="G780" s="1353">
        <f t="shared" ref="G780" si="62">E780*F780</f>
        <v>0</v>
      </c>
      <c r="I780" s="1403"/>
    </row>
    <row r="781" spans="2:9" s="1364" customFormat="1">
      <c r="B781" s="1396"/>
      <c r="C781" s="1404"/>
      <c r="D781" s="1343"/>
      <c r="E781" s="1343"/>
      <c r="F781" s="62"/>
      <c r="G781" s="1353"/>
      <c r="I781" s="1368"/>
    </row>
    <row r="782" spans="2:9" s="1364" customFormat="1">
      <c r="B782" s="1396" t="s">
        <v>3369</v>
      </c>
      <c r="C782" s="1352" t="s">
        <v>5618</v>
      </c>
      <c r="D782" s="1343"/>
      <c r="E782" s="1343"/>
      <c r="F782" s="62"/>
      <c r="G782" s="1353"/>
      <c r="I782" s="1365"/>
    </row>
    <row r="783" spans="2:9" s="1364" customFormat="1" ht="51">
      <c r="B783" s="1396"/>
      <c r="C783" s="1355" t="s">
        <v>3370</v>
      </c>
      <c r="D783" s="1343"/>
      <c r="E783" s="1343"/>
      <c r="F783" s="62"/>
      <c r="G783" s="1353"/>
      <c r="I783" s="1368"/>
    </row>
    <row r="784" spans="2:9" s="1364" customFormat="1">
      <c r="B784" s="1396"/>
      <c r="C784" s="1405" t="s">
        <v>2837</v>
      </c>
      <c r="D784" s="1614"/>
      <c r="E784" s="1614"/>
      <c r="F784" s="62"/>
      <c r="G784" s="1353"/>
      <c r="I784" s="1368"/>
    </row>
    <row r="785" spans="2:9" s="1364" customFormat="1">
      <c r="B785" s="1396"/>
      <c r="C785" s="1405" t="s">
        <v>3371</v>
      </c>
      <c r="D785" s="1614" t="s">
        <v>34</v>
      </c>
      <c r="E785" s="1614">
        <f>18+16+14+11</f>
        <v>59</v>
      </c>
      <c r="F785" s="62"/>
      <c r="G785" s="1353"/>
      <c r="I785" s="1368"/>
    </row>
    <row r="786" spans="2:9" s="1364" customFormat="1">
      <c r="B786" s="1396"/>
      <c r="C786" s="1405" t="s">
        <v>3372</v>
      </c>
      <c r="D786" s="1614" t="s">
        <v>34</v>
      </c>
      <c r="E786" s="1614">
        <f>18+17+13+12</f>
        <v>60</v>
      </c>
      <c r="F786" s="62"/>
      <c r="G786" s="1353"/>
      <c r="I786" s="1368"/>
    </row>
    <row r="787" spans="2:9" s="1364" customFormat="1">
      <c r="B787" s="1396"/>
      <c r="C787" s="1647" t="s">
        <v>3373</v>
      </c>
      <c r="D787" s="1616" t="s">
        <v>34</v>
      </c>
      <c r="E787" s="1616">
        <f>19+16+14+12</f>
        <v>61</v>
      </c>
      <c r="F787" s="62"/>
      <c r="G787" s="1353"/>
      <c r="I787" s="1368"/>
    </row>
    <row r="788" spans="2:9">
      <c r="B788" s="1402"/>
      <c r="C788" s="1404" t="s">
        <v>2957</v>
      </c>
      <c r="D788" s="1369"/>
      <c r="E788" s="1369">
        <f>SUM(E785:E787)</f>
        <v>180</v>
      </c>
      <c r="F788" s="63"/>
      <c r="G788" s="1353">
        <f t="shared" ref="G788" si="63">E788*F788</f>
        <v>0</v>
      </c>
      <c r="I788" s="1403"/>
    </row>
    <row r="789" spans="2:9" s="1364" customFormat="1">
      <c r="B789" s="1396"/>
      <c r="C789" s="1405"/>
      <c r="D789" s="1614"/>
      <c r="E789" s="1614"/>
      <c r="F789" s="62"/>
      <c r="G789" s="1353"/>
      <c r="I789" s="1368"/>
    </row>
    <row r="790" spans="2:9" s="1364" customFormat="1">
      <c r="B790" s="1396" t="s">
        <v>3374</v>
      </c>
      <c r="C790" s="1352" t="s">
        <v>5619</v>
      </c>
      <c r="D790" s="1343"/>
      <c r="E790" s="1343"/>
      <c r="F790" s="62"/>
      <c r="G790" s="1353"/>
      <c r="I790" s="1365"/>
    </row>
    <row r="791" spans="2:9" s="1364" customFormat="1" ht="51">
      <c r="B791" s="1396"/>
      <c r="C791" s="1355" t="s">
        <v>3375</v>
      </c>
      <c r="D791" s="1343"/>
      <c r="E791" s="1343"/>
      <c r="F791" s="62"/>
      <c r="G791" s="1353"/>
      <c r="I791" s="1368"/>
    </row>
    <row r="792" spans="2:9" s="1364" customFormat="1">
      <c r="B792" s="1396"/>
      <c r="C792" s="1405" t="s">
        <v>2840</v>
      </c>
      <c r="D792" s="1343"/>
      <c r="E792" s="1343"/>
      <c r="F792" s="62"/>
      <c r="G792" s="1353"/>
      <c r="I792" s="1368"/>
    </row>
    <row r="793" spans="2:9" s="1364" customFormat="1">
      <c r="B793" s="1350"/>
      <c r="C793" s="1632" t="s">
        <v>3309</v>
      </c>
      <c r="D793" s="1614" t="s">
        <v>34</v>
      </c>
      <c r="E793" s="1640">
        <v>12</v>
      </c>
      <c r="F793" s="62"/>
      <c r="G793" s="1351"/>
      <c r="I793" s="1365"/>
    </row>
    <row r="794" spans="2:9" s="1364" customFormat="1">
      <c r="B794" s="1350"/>
      <c r="C794" s="1633" t="s">
        <v>3312</v>
      </c>
      <c r="D794" s="1616" t="s">
        <v>34</v>
      </c>
      <c r="E794" s="1643">
        <v>165</v>
      </c>
      <c r="F794" s="62"/>
      <c r="G794" s="1351"/>
      <c r="I794" s="1365"/>
    </row>
    <row r="795" spans="2:9">
      <c r="B795" s="1402"/>
      <c r="C795" s="1405" t="s">
        <v>3376</v>
      </c>
      <c r="D795" s="1369"/>
      <c r="E795" s="1369">
        <f>SUM(E793:E794)</f>
        <v>177</v>
      </c>
      <c r="F795" s="63"/>
      <c r="G795" s="1353">
        <f t="shared" ref="G795" si="64">E795*F795</f>
        <v>0</v>
      </c>
      <c r="I795" s="1403"/>
    </row>
    <row r="796" spans="2:9" s="1364" customFormat="1">
      <c r="B796" s="1396"/>
      <c r="C796" s="1404"/>
      <c r="D796" s="1343"/>
      <c r="E796" s="1343"/>
      <c r="F796" s="62"/>
      <c r="G796" s="1353"/>
      <c r="I796" s="1368"/>
    </row>
    <row r="797" spans="2:9" s="1364" customFormat="1">
      <c r="B797" s="1396"/>
      <c r="C797" s="1405"/>
      <c r="D797" s="1614"/>
      <c r="E797" s="1614"/>
      <c r="F797" s="62"/>
      <c r="G797" s="1353"/>
      <c r="I797" s="1368"/>
    </row>
    <row r="798" spans="2:9" s="1364" customFormat="1">
      <c r="B798" s="1396" t="s">
        <v>3377</v>
      </c>
      <c r="C798" s="1352" t="s">
        <v>3378</v>
      </c>
      <c r="D798" s="1343"/>
      <c r="E798" s="1343"/>
      <c r="F798" s="62"/>
      <c r="G798" s="1353"/>
      <c r="I798" s="1365"/>
    </row>
    <row r="799" spans="2:9" s="1364" customFormat="1" ht="25.5">
      <c r="B799" s="1396"/>
      <c r="C799" s="1355" t="s">
        <v>3379</v>
      </c>
      <c r="D799" s="1343"/>
      <c r="E799" s="1343"/>
      <c r="F799" s="62"/>
      <c r="G799" s="1353"/>
      <c r="I799" s="1368"/>
    </row>
    <row r="800" spans="2:9" s="1364" customFormat="1">
      <c r="B800" s="1396"/>
      <c r="C800" s="1405" t="s">
        <v>2837</v>
      </c>
      <c r="D800" s="1614"/>
      <c r="E800" s="1614"/>
      <c r="F800" s="62"/>
      <c r="G800" s="1353"/>
      <c r="I800" s="1368"/>
    </row>
    <row r="801" spans="2:9" s="1364" customFormat="1">
      <c r="B801" s="1350"/>
      <c r="C801" s="1632" t="s">
        <v>3137</v>
      </c>
      <c r="D801" s="1614" t="s">
        <v>34</v>
      </c>
      <c r="E801" s="1640">
        <v>160</v>
      </c>
      <c r="F801" s="62"/>
      <c r="G801" s="1351"/>
      <c r="I801" s="1365"/>
    </row>
    <row r="802" spans="2:9" s="1364" customFormat="1">
      <c r="B802" s="1350"/>
      <c r="C802" s="1632" t="s">
        <v>3138</v>
      </c>
      <c r="D802" s="1614" t="s">
        <v>34</v>
      </c>
      <c r="E802" s="1640">
        <v>243</v>
      </c>
      <c r="F802" s="62"/>
      <c r="G802" s="1351"/>
      <c r="I802" s="1365"/>
    </row>
    <row r="803" spans="2:9" s="1364" customFormat="1">
      <c r="B803" s="1350"/>
      <c r="C803" s="1632" t="s">
        <v>3139</v>
      </c>
      <c r="D803" s="1614" t="s">
        <v>34</v>
      </c>
      <c r="E803" s="1640">
        <v>95</v>
      </c>
      <c r="F803" s="62"/>
      <c r="G803" s="1351"/>
      <c r="I803" s="1365"/>
    </row>
    <row r="804" spans="2:9" s="1364" customFormat="1">
      <c r="B804" s="1350"/>
      <c r="C804" s="1632" t="s">
        <v>3140</v>
      </c>
      <c r="D804" s="1614" t="s">
        <v>34</v>
      </c>
      <c r="E804" s="1640">
        <v>96</v>
      </c>
      <c r="F804" s="62"/>
      <c r="G804" s="1351"/>
      <c r="I804" s="1365"/>
    </row>
    <row r="805" spans="2:9" s="1364" customFormat="1">
      <c r="B805" s="1350"/>
      <c r="C805" s="1633" t="s">
        <v>3141</v>
      </c>
      <c r="D805" s="1616" t="s">
        <v>34</v>
      </c>
      <c r="E805" s="1643">
        <v>330</v>
      </c>
      <c r="F805" s="62"/>
      <c r="G805" s="1351"/>
      <c r="I805" s="1365"/>
    </row>
    <row r="806" spans="2:9" s="1364" customFormat="1">
      <c r="B806" s="1396"/>
      <c r="C806" s="1405" t="s">
        <v>2840</v>
      </c>
      <c r="D806" s="1614"/>
      <c r="E806" s="1614"/>
      <c r="F806" s="62"/>
      <c r="G806" s="1353"/>
      <c r="I806" s="1368"/>
    </row>
    <row r="807" spans="2:9" s="1364" customFormat="1">
      <c r="B807" s="1350"/>
      <c r="C807" s="1632" t="s">
        <v>3309</v>
      </c>
      <c r="D807" s="1614" t="s">
        <v>34</v>
      </c>
      <c r="E807" s="1640">
        <v>50</v>
      </c>
      <c r="F807" s="62"/>
      <c r="G807" s="1351"/>
      <c r="I807" s="1365"/>
    </row>
    <row r="808" spans="2:9" s="1364" customFormat="1">
      <c r="B808" s="1350"/>
      <c r="C808" s="1632" t="s">
        <v>3310</v>
      </c>
      <c r="D808" s="1614" t="s">
        <v>34</v>
      </c>
      <c r="E808" s="1640">
        <v>18</v>
      </c>
      <c r="F808" s="62"/>
      <c r="G808" s="1351"/>
      <c r="I808" s="1365"/>
    </row>
    <row r="809" spans="2:9" s="1364" customFormat="1" ht="13.5" thickBot="1">
      <c r="B809" s="1350"/>
      <c r="C809" s="1635" t="s">
        <v>3311</v>
      </c>
      <c r="D809" s="1648" t="s">
        <v>34</v>
      </c>
      <c r="E809" s="1645">
        <v>24</v>
      </c>
      <c r="F809" s="62"/>
      <c r="G809" s="1351"/>
      <c r="I809" s="1365"/>
    </row>
    <row r="810" spans="2:9" s="1364" customFormat="1" ht="13.5" thickTop="1">
      <c r="B810" s="1399"/>
      <c r="C810" s="1405" t="s">
        <v>3380</v>
      </c>
      <c r="D810" s="1369"/>
      <c r="E810" s="1369">
        <f>SUM(E801:E809)</f>
        <v>1016</v>
      </c>
      <c r="F810" s="63"/>
      <c r="G810" s="1353">
        <f t="shared" ref="G810" si="65">E810*F810</f>
        <v>0</v>
      </c>
      <c r="I810" s="1368"/>
    </row>
    <row r="811" spans="2:9" s="1364" customFormat="1">
      <c r="B811" s="1396"/>
      <c r="C811" s="1404"/>
      <c r="D811" s="1343"/>
      <c r="E811" s="1343"/>
      <c r="F811" s="62"/>
      <c r="G811" s="1353"/>
      <c r="I811" s="1368"/>
    </row>
    <row r="812" spans="2:9" s="1364" customFormat="1">
      <c r="B812" s="1649"/>
      <c r="C812" s="1352"/>
      <c r="D812" s="1343"/>
      <c r="E812" s="1343"/>
      <c r="F812" s="62"/>
      <c r="G812" s="1353"/>
      <c r="I812" s="1368"/>
    </row>
    <row r="813" spans="2:9" s="1364" customFormat="1">
      <c r="B813" s="1396" t="s">
        <v>3381</v>
      </c>
      <c r="C813" s="1345" t="s">
        <v>3382</v>
      </c>
      <c r="D813" s="1385"/>
      <c r="E813" s="1385"/>
      <c r="F813" s="1442"/>
      <c r="G813" s="1351"/>
      <c r="I813" s="1365"/>
    </row>
    <row r="814" spans="2:9" s="1364" customFormat="1">
      <c r="B814" s="1396"/>
      <c r="C814" s="1345" t="s">
        <v>3383</v>
      </c>
      <c r="D814" s="1343"/>
      <c r="E814" s="1401"/>
      <c r="F814" s="62"/>
      <c r="G814" s="1353"/>
      <c r="I814" s="1365"/>
    </row>
    <row r="815" spans="2:9" s="1364" customFormat="1" ht="25.5">
      <c r="B815" s="1396"/>
      <c r="C815" s="1345" t="s">
        <v>3358</v>
      </c>
      <c r="D815" s="1343"/>
      <c r="E815" s="1401"/>
      <c r="F815" s="62"/>
      <c r="G815" s="1353"/>
      <c r="I815" s="1365"/>
    </row>
    <row r="816" spans="2:9" s="1364" customFormat="1">
      <c r="B816" s="1396"/>
      <c r="C816" s="1345" t="s">
        <v>3359</v>
      </c>
      <c r="D816" s="1343"/>
      <c r="E816" s="1343"/>
      <c r="F816" s="62"/>
      <c r="G816" s="1353"/>
      <c r="I816" s="1365"/>
    </row>
    <row r="817" spans="2:9" s="1364" customFormat="1" ht="63.75">
      <c r="B817" s="1396"/>
      <c r="C817" s="1355" t="s">
        <v>3360</v>
      </c>
      <c r="D817" s="1343"/>
      <c r="E817" s="1401"/>
      <c r="F817" s="62"/>
      <c r="G817" s="1353"/>
      <c r="I817" s="1365"/>
    </row>
    <row r="818" spans="2:9" s="1364" customFormat="1" ht="25.5">
      <c r="B818" s="1396"/>
      <c r="C818" s="1345" t="s">
        <v>3361</v>
      </c>
      <c r="D818" s="1343"/>
      <c r="E818" s="1343"/>
      <c r="F818" s="62"/>
      <c r="G818" s="1353"/>
      <c r="I818" s="1365"/>
    </row>
    <row r="819" spans="2:9" s="1364" customFormat="1">
      <c r="B819" s="1399"/>
      <c r="C819" s="1342"/>
      <c r="D819" s="1369" t="s">
        <v>34</v>
      </c>
      <c r="E819" s="1369">
        <f>E780</f>
        <v>4</v>
      </c>
      <c r="F819" s="63"/>
      <c r="G819" s="1353">
        <f t="shared" ref="G819" si="66">E819*F819</f>
        <v>0</v>
      </c>
      <c r="I819" s="1365"/>
    </row>
    <row r="820" spans="2:9" s="1364" customFormat="1">
      <c r="B820" s="1399"/>
      <c r="C820" s="1342"/>
      <c r="D820" s="1369"/>
      <c r="E820" s="1369"/>
      <c r="F820" s="63"/>
      <c r="G820" s="1353"/>
      <c r="I820" s="1365"/>
    </row>
    <row r="821" spans="2:9" s="1364" customFormat="1">
      <c r="B821" s="1396"/>
      <c r="C821" s="1379"/>
      <c r="D821" s="1343"/>
      <c r="E821" s="1401"/>
      <c r="F821" s="62"/>
      <c r="G821" s="1353"/>
      <c r="I821" s="1365"/>
    </row>
    <row r="822" spans="2:9" s="1364" customFormat="1">
      <c r="B822" s="1396" t="s">
        <v>3384</v>
      </c>
      <c r="C822" s="1345" t="s">
        <v>3385</v>
      </c>
      <c r="D822" s="1385"/>
      <c r="E822" s="1385"/>
      <c r="F822" s="1442"/>
      <c r="G822" s="1351"/>
      <c r="I822" s="1365"/>
    </row>
    <row r="823" spans="2:9" s="1364" customFormat="1">
      <c r="B823" s="1396"/>
      <c r="C823" s="1345" t="s">
        <v>3386</v>
      </c>
      <c r="D823" s="1343"/>
      <c r="E823" s="1401"/>
      <c r="F823" s="62"/>
      <c r="G823" s="1353"/>
      <c r="I823" s="1365"/>
    </row>
    <row r="824" spans="2:9" s="1364" customFormat="1" ht="25.5">
      <c r="B824" s="1396"/>
      <c r="C824" s="1345" t="s">
        <v>3358</v>
      </c>
      <c r="D824" s="1343"/>
      <c r="E824" s="1401"/>
      <c r="F824" s="62"/>
      <c r="G824" s="1353"/>
      <c r="I824" s="1365"/>
    </row>
    <row r="825" spans="2:9" s="1364" customFormat="1">
      <c r="B825" s="1396"/>
      <c r="C825" s="1345" t="s">
        <v>3387</v>
      </c>
      <c r="D825" s="1343"/>
      <c r="E825" s="1343"/>
      <c r="F825" s="62"/>
      <c r="G825" s="1353"/>
      <c r="I825" s="1365"/>
    </row>
    <row r="826" spans="2:9" s="1364" customFormat="1" ht="63.75">
      <c r="B826" s="1396"/>
      <c r="C826" s="1355" t="s">
        <v>3360</v>
      </c>
      <c r="D826" s="1343"/>
      <c r="E826" s="1401"/>
      <c r="F826" s="62"/>
      <c r="G826" s="1353"/>
      <c r="I826" s="1365"/>
    </row>
    <row r="827" spans="2:9" s="1364" customFormat="1" ht="25.5">
      <c r="B827" s="1396"/>
      <c r="C827" s="1345" t="s">
        <v>3361</v>
      </c>
      <c r="D827" s="1343"/>
      <c r="E827" s="1343"/>
      <c r="F827" s="62"/>
      <c r="G827" s="1353"/>
      <c r="I827" s="1365"/>
    </row>
    <row r="828" spans="2:9" s="1364" customFormat="1">
      <c r="B828" s="1399"/>
      <c r="C828" s="1342"/>
      <c r="D828" s="1369" t="s">
        <v>34</v>
      </c>
      <c r="E828" s="1369">
        <f>E788+E795</f>
        <v>357</v>
      </c>
      <c r="F828" s="63"/>
      <c r="G828" s="1353">
        <f t="shared" ref="G828" si="67">E828*F828</f>
        <v>0</v>
      </c>
      <c r="I828" s="1365"/>
    </row>
    <row r="829" spans="2:9" s="1364" customFormat="1">
      <c r="B829" s="1399"/>
      <c r="C829" s="1342"/>
      <c r="D829" s="1369"/>
      <c r="E829" s="1369"/>
      <c r="F829" s="63"/>
      <c r="G829" s="1353"/>
      <c r="I829" s="1365"/>
    </row>
    <row r="830" spans="2:9" s="1364" customFormat="1">
      <c r="B830" s="1396"/>
      <c r="C830" s="1342"/>
      <c r="D830" s="1343"/>
      <c r="E830" s="1343"/>
      <c r="F830" s="62"/>
      <c r="G830" s="1353"/>
      <c r="I830" s="1365"/>
    </row>
    <row r="831" spans="2:9" s="1364" customFormat="1">
      <c r="B831" s="1399" t="s">
        <v>3388</v>
      </c>
      <c r="C831" s="1345" t="s">
        <v>3389</v>
      </c>
      <c r="D831" s="1650"/>
      <c r="E831" s="1650"/>
      <c r="F831" s="1651"/>
      <c r="G831" s="1351"/>
      <c r="I831" s="1365"/>
    </row>
    <row r="832" spans="2:9" s="1364" customFormat="1" ht="37.5" customHeight="1">
      <c r="B832" s="1399"/>
      <c r="C832" s="1345" t="s">
        <v>3390</v>
      </c>
      <c r="D832" s="1369"/>
      <c r="E832" s="1652"/>
      <c r="F832" s="63"/>
      <c r="G832" s="1353"/>
      <c r="I832" s="1365"/>
    </row>
    <row r="833" spans="2:9" s="1364" customFormat="1">
      <c r="B833" s="1350"/>
      <c r="C833" s="1352" t="s">
        <v>2837</v>
      </c>
      <c r="D833" s="1343"/>
      <c r="E833" s="1343"/>
      <c r="F833" s="64"/>
      <c r="G833" s="1351"/>
      <c r="I833" s="1365"/>
    </row>
    <row r="834" spans="2:9" s="1364" customFormat="1">
      <c r="B834" s="1350"/>
      <c r="C834" s="1632" t="s">
        <v>3136</v>
      </c>
      <c r="D834" s="1615" t="s">
        <v>3277</v>
      </c>
      <c r="E834" s="1614">
        <v>51</v>
      </c>
      <c r="F834" s="62"/>
      <c r="G834" s="1351"/>
      <c r="I834" s="1365"/>
    </row>
    <row r="835" spans="2:9">
      <c r="B835" s="1402"/>
      <c r="C835" s="1345" t="s">
        <v>2840</v>
      </c>
      <c r="D835" s="1369"/>
      <c r="E835" s="1652"/>
      <c r="F835" s="63"/>
      <c r="G835" s="1353"/>
    </row>
    <row r="836" spans="2:9" s="1364" customFormat="1">
      <c r="B836" s="1350"/>
      <c r="C836" s="1633" t="s">
        <v>3312</v>
      </c>
      <c r="D836" s="1642" t="s">
        <v>3277</v>
      </c>
      <c r="E836" s="1616">
        <v>55</v>
      </c>
      <c r="F836" s="62"/>
      <c r="G836" s="1351"/>
      <c r="I836" s="1365"/>
    </row>
    <row r="837" spans="2:9">
      <c r="B837" s="1402"/>
      <c r="C837" s="1345" t="s">
        <v>2957</v>
      </c>
      <c r="D837" s="1369" t="s">
        <v>3031</v>
      </c>
      <c r="E837" s="1369">
        <f>SUM(E834:E836)</f>
        <v>106</v>
      </c>
      <c r="F837" s="63"/>
      <c r="G837" s="1353">
        <f t="shared" ref="G837" si="68">E837*F837</f>
        <v>0</v>
      </c>
    </row>
    <row r="838" spans="2:9" s="1364" customFormat="1">
      <c r="B838" s="1399"/>
      <c r="C838" s="1345"/>
      <c r="E838" s="1369"/>
      <c r="F838" s="63"/>
      <c r="G838" s="1353"/>
      <c r="I838" s="1365"/>
    </row>
    <row r="839" spans="2:9" s="1364" customFormat="1">
      <c r="B839" s="1396"/>
      <c r="C839" s="1342"/>
      <c r="D839" s="1343"/>
      <c r="E839" s="1343"/>
      <c r="F839" s="62"/>
      <c r="G839" s="1353"/>
      <c r="I839" s="1365"/>
    </row>
    <row r="840" spans="2:9" s="1364" customFormat="1">
      <c r="B840" s="1399" t="s">
        <v>3391</v>
      </c>
      <c r="C840" s="1345" t="s">
        <v>3392</v>
      </c>
      <c r="D840" s="1650"/>
      <c r="E840" s="1650"/>
      <c r="F840" s="1651"/>
      <c r="G840" s="1351"/>
      <c r="I840" s="1365"/>
    </row>
    <row r="841" spans="2:9" s="1364" customFormat="1" ht="38.25">
      <c r="B841" s="1399"/>
      <c r="C841" s="1345" t="s">
        <v>3393</v>
      </c>
      <c r="D841" s="1369"/>
      <c r="E841" s="1652"/>
      <c r="F841" s="63"/>
      <c r="G841" s="1353"/>
      <c r="I841" s="1365"/>
    </row>
    <row r="842" spans="2:9" s="1364" customFormat="1" ht="25.5">
      <c r="B842" s="1399"/>
      <c r="C842" s="1345" t="s">
        <v>3394</v>
      </c>
      <c r="D842" s="1369"/>
      <c r="E842" s="1652"/>
      <c r="F842" s="63"/>
      <c r="G842" s="1353"/>
      <c r="I842" s="1365"/>
    </row>
    <row r="843" spans="2:9" s="1364" customFormat="1">
      <c r="B843" s="1350"/>
      <c r="C843" s="1352" t="s">
        <v>2837</v>
      </c>
      <c r="D843" s="1343"/>
      <c r="E843" s="1343"/>
      <c r="F843" s="64"/>
      <c r="G843" s="1351"/>
      <c r="I843" s="1365"/>
    </row>
    <row r="844" spans="2:9" s="1364" customFormat="1">
      <c r="B844" s="1350"/>
      <c r="C844" s="1632" t="s">
        <v>3136</v>
      </c>
      <c r="D844" s="1615" t="s">
        <v>3277</v>
      </c>
      <c r="E844" s="1614">
        <v>51</v>
      </c>
      <c r="F844" s="62"/>
      <c r="G844" s="1351"/>
      <c r="I844" s="1365"/>
    </row>
    <row r="845" spans="2:9">
      <c r="B845" s="1402"/>
      <c r="C845" s="1345" t="s">
        <v>2840</v>
      </c>
      <c r="D845" s="1369"/>
      <c r="E845" s="1652"/>
      <c r="F845" s="63"/>
      <c r="G845" s="1353"/>
    </row>
    <row r="846" spans="2:9" s="1364" customFormat="1">
      <c r="B846" s="1350"/>
      <c r="C846" s="1633" t="s">
        <v>3312</v>
      </c>
      <c r="D846" s="1642" t="s">
        <v>3277</v>
      </c>
      <c r="E846" s="1616">
        <v>55</v>
      </c>
      <c r="F846" s="62"/>
      <c r="G846" s="1351"/>
      <c r="I846" s="1365"/>
    </row>
    <row r="847" spans="2:9">
      <c r="B847" s="1402"/>
      <c r="C847" s="1345" t="s">
        <v>3395</v>
      </c>
      <c r="D847" s="1369" t="s">
        <v>3031</v>
      </c>
      <c r="E847" s="1369">
        <f>SUM(E844:E846)</f>
        <v>106</v>
      </c>
      <c r="F847" s="63"/>
      <c r="G847" s="1353">
        <f t="shared" ref="G847:G848" si="69">E847*F847</f>
        <v>0</v>
      </c>
    </row>
    <row r="848" spans="2:9" s="1364" customFormat="1">
      <c r="B848" s="1399"/>
      <c r="C848" s="1345" t="s">
        <v>3396</v>
      </c>
      <c r="D848" s="1369" t="s">
        <v>3397</v>
      </c>
      <c r="E848" s="1369">
        <f>E847*50</f>
        <v>5300</v>
      </c>
      <c r="F848" s="63"/>
      <c r="G848" s="1353">
        <f t="shared" si="69"/>
        <v>0</v>
      </c>
      <c r="I848" s="1365"/>
    </row>
    <row r="849" spans="2:9" s="1364" customFormat="1">
      <c r="B849" s="1399"/>
      <c r="C849" s="1345"/>
      <c r="D849" s="1369"/>
      <c r="E849" s="1369"/>
      <c r="F849" s="63"/>
      <c r="G849" s="1353"/>
      <c r="I849" s="1365"/>
    </row>
    <row r="850" spans="2:9" s="1364" customFormat="1">
      <c r="B850" s="1396"/>
      <c r="C850" s="1342"/>
      <c r="D850" s="1343"/>
      <c r="E850" s="1343"/>
      <c r="F850" s="62"/>
      <c r="G850" s="1353"/>
      <c r="I850" s="1365"/>
    </row>
    <row r="851" spans="2:9" s="1364" customFormat="1">
      <c r="B851" s="1396" t="s">
        <v>3398</v>
      </c>
      <c r="C851" s="1345" t="s">
        <v>3399</v>
      </c>
      <c r="D851" s="1385"/>
      <c r="E851" s="1385"/>
      <c r="F851" s="1442"/>
      <c r="G851" s="1351"/>
      <c r="I851" s="1365"/>
    </row>
    <row r="852" spans="2:9" s="1364" customFormat="1">
      <c r="B852" s="1396"/>
      <c r="C852" s="1345" t="s">
        <v>3400</v>
      </c>
      <c r="D852" s="1343"/>
      <c r="E852" s="1401"/>
      <c r="F852" s="62"/>
      <c r="G852" s="1353"/>
      <c r="I852" s="1365"/>
    </row>
    <row r="853" spans="2:9" s="1364" customFormat="1" ht="25.5">
      <c r="B853" s="1396"/>
      <c r="C853" s="1345" t="s">
        <v>3358</v>
      </c>
      <c r="D853" s="1343"/>
      <c r="E853" s="1401"/>
      <c r="F853" s="62"/>
      <c r="G853" s="1353"/>
      <c r="I853" s="1365"/>
    </row>
    <row r="854" spans="2:9" s="1364" customFormat="1">
      <c r="B854" s="1396"/>
      <c r="C854" s="1345" t="s">
        <v>3401</v>
      </c>
      <c r="D854" s="1343"/>
      <c r="E854" s="1343"/>
      <c r="F854" s="62"/>
      <c r="G854" s="1353"/>
      <c r="I854" s="1365"/>
    </row>
    <row r="855" spans="2:9" s="1364" customFormat="1" ht="63.75">
      <c r="B855" s="1396"/>
      <c r="C855" s="1355" t="s">
        <v>3360</v>
      </c>
      <c r="D855" s="1343"/>
      <c r="E855" s="1401"/>
      <c r="F855" s="62"/>
      <c r="G855" s="1353"/>
      <c r="I855" s="1365"/>
    </row>
    <row r="856" spans="2:9" s="1364" customFormat="1" ht="25.5">
      <c r="B856" s="1396"/>
      <c r="C856" s="1345" t="s">
        <v>3402</v>
      </c>
      <c r="D856" s="1343"/>
      <c r="E856" s="1343"/>
      <c r="F856" s="62"/>
      <c r="G856" s="1353"/>
      <c r="I856" s="1365"/>
    </row>
    <row r="857" spans="2:9" s="1364" customFormat="1">
      <c r="B857" s="1399"/>
      <c r="C857" s="1342"/>
      <c r="D857" s="1369" t="s">
        <v>34</v>
      </c>
      <c r="E857" s="1369">
        <f>E810</f>
        <v>1016</v>
      </c>
      <c r="F857" s="63"/>
      <c r="G857" s="1353">
        <f t="shared" ref="G857" si="70">E857*F857</f>
        <v>0</v>
      </c>
      <c r="I857" s="1365"/>
    </row>
    <row r="858" spans="2:9" s="1364" customFormat="1" ht="11.25" customHeight="1">
      <c r="B858" s="1396"/>
      <c r="C858" s="1342"/>
      <c r="D858" s="1343"/>
      <c r="E858" s="1343"/>
      <c r="F858" s="62"/>
      <c r="G858" s="1353"/>
      <c r="I858" s="1365"/>
    </row>
    <row r="859" spans="2:9" s="1364" customFormat="1">
      <c r="B859" s="1350"/>
      <c r="C859" s="1342"/>
      <c r="D859" s="1343"/>
      <c r="E859" s="1343"/>
      <c r="F859" s="62"/>
      <c r="G859" s="1351"/>
      <c r="I859" s="1365"/>
    </row>
    <row r="860" spans="2:9" s="1364" customFormat="1">
      <c r="B860" s="1346" t="s">
        <v>3363</v>
      </c>
      <c r="C860" s="1362" t="str">
        <f>"UKUPNO - "&amp;C775&amp;" (€):"</f>
        <v>UKUPNO - SADNJA GRMLJA I TRAJNICA (€):</v>
      </c>
      <c r="D860" s="1363"/>
      <c r="E860" s="1363"/>
      <c r="F860" s="1439"/>
      <c r="G860" s="1349">
        <f>SUM(G775:G859)</f>
        <v>0</v>
      </c>
      <c r="I860" s="1365"/>
    </row>
    <row r="861" spans="2:9" s="1364" customFormat="1">
      <c r="B861" s="1350"/>
      <c r="C861" s="1342"/>
      <c r="D861" s="1343"/>
      <c r="E861" s="1343"/>
      <c r="F861" s="62"/>
      <c r="G861" s="1351"/>
      <c r="I861" s="1365"/>
    </row>
    <row r="862" spans="2:9">
      <c r="B862" s="1346" t="s">
        <v>3403</v>
      </c>
      <c r="C862" s="1347" t="s">
        <v>3404</v>
      </c>
      <c r="D862" s="1348"/>
      <c r="E862" s="1348"/>
      <c r="F862" s="1440"/>
      <c r="G862" s="1349"/>
    </row>
    <row r="863" spans="2:9" s="1364" customFormat="1">
      <c r="B863" s="1350"/>
      <c r="C863" s="1342"/>
      <c r="D863" s="1343"/>
      <c r="E863" s="1343"/>
      <c r="F863" s="62"/>
      <c r="G863" s="1351"/>
      <c r="I863" s="1365"/>
    </row>
    <row r="864" spans="2:9" s="1364" customFormat="1" ht="25.5">
      <c r="B864" s="1396" t="s">
        <v>3405</v>
      </c>
      <c r="C864" s="1653" t="s">
        <v>3406</v>
      </c>
      <c r="D864" s="1343"/>
      <c r="E864" s="1401"/>
      <c r="F864" s="62"/>
      <c r="G864" s="1353"/>
      <c r="I864" s="1365"/>
    </row>
    <row r="865" spans="2:9" s="1364" customFormat="1" ht="38.25">
      <c r="B865" s="1396"/>
      <c r="C865" s="1654" t="s">
        <v>3407</v>
      </c>
      <c r="D865" s="1343"/>
      <c r="E865" s="1401"/>
      <c r="F865" s="62"/>
      <c r="G865" s="1353"/>
      <c r="I865" s="1365"/>
    </row>
    <row r="866" spans="2:9" s="1364" customFormat="1" ht="25.5">
      <c r="B866" s="1396"/>
      <c r="C866" s="1654" t="s">
        <v>3408</v>
      </c>
      <c r="D866" s="1343"/>
      <c r="E866" s="1401"/>
      <c r="F866" s="62"/>
      <c r="G866" s="1353"/>
      <c r="I866" s="1365"/>
    </row>
    <row r="867" spans="2:9" s="1364" customFormat="1">
      <c r="B867" s="1396"/>
      <c r="C867" s="1654" t="s">
        <v>3409</v>
      </c>
      <c r="D867" s="1343"/>
      <c r="E867" s="1401"/>
      <c r="F867" s="62"/>
      <c r="G867" s="1353"/>
      <c r="I867" s="1365"/>
    </row>
    <row r="868" spans="2:9" s="1364" customFormat="1">
      <c r="B868" s="1396"/>
      <c r="C868" s="1654" t="s">
        <v>3410</v>
      </c>
      <c r="D868" s="1343"/>
      <c r="E868" s="1401"/>
      <c r="F868" s="62"/>
      <c r="G868" s="1353"/>
      <c r="I868" s="1365"/>
    </row>
    <row r="869" spans="2:9" s="1364" customFormat="1">
      <c r="B869" s="1350"/>
      <c r="C869" s="1352" t="s">
        <v>2840</v>
      </c>
      <c r="D869" s="1343"/>
      <c r="E869" s="1343"/>
      <c r="F869" s="62"/>
      <c r="G869" s="1351"/>
      <c r="I869" s="1365"/>
    </row>
    <row r="870" spans="2:9" s="1364" customFormat="1">
      <c r="B870" s="1350"/>
      <c r="C870" s="1632" t="s">
        <v>3137</v>
      </c>
      <c r="D870" s="1641" t="s">
        <v>3277</v>
      </c>
      <c r="E870" s="1640">
        <v>86.06</v>
      </c>
      <c r="F870" s="62"/>
      <c r="G870" s="1351"/>
      <c r="I870" s="1365"/>
    </row>
    <row r="871" spans="2:9" s="1364" customFormat="1">
      <c r="B871" s="1350"/>
      <c r="C871" s="1632" t="s">
        <v>3139</v>
      </c>
      <c r="D871" s="1641" t="s">
        <v>3277</v>
      </c>
      <c r="E871" s="1640">
        <v>16.78</v>
      </c>
      <c r="F871" s="62"/>
      <c r="G871" s="1351"/>
      <c r="I871" s="1365"/>
    </row>
    <row r="872" spans="2:9" s="1364" customFormat="1">
      <c r="B872" s="1350"/>
      <c r="C872" s="1632" t="s">
        <v>3313</v>
      </c>
      <c r="D872" s="1641" t="s">
        <v>3277</v>
      </c>
      <c r="E872" s="1640">
        <v>43.42</v>
      </c>
      <c r="F872" s="62"/>
      <c r="G872" s="1351"/>
      <c r="I872" s="1365"/>
    </row>
    <row r="873" spans="2:9" s="1364" customFormat="1" ht="13.5" thickBot="1">
      <c r="B873" s="1350"/>
      <c r="C873" s="1635" t="s">
        <v>3140</v>
      </c>
      <c r="D873" s="1644" t="s">
        <v>3277</v>
      </c>
      <c r="E873" s="1645">
        <v>81</v>
      </c>
      <c r="F873" s="62"/>
      <c r="G873" s="1351"/>
      <c r="I873" s="1365"/>
    </row>
    <row r="874" spans="2:9" s="1364" customFormat="1" ht="13.5" thickTop="1">
      <c r="B874" s="1350"/>
      <c r="C874" s="1352"/>
      <c r="D874" s="1343" t="s">
        <v>3253</v>
      </c>
      <c r="E874" s="1343">
        <f>SUM(E870:E873)</f>
        <v>227.26</v>
      </c>
      <c r="F874" s="62"/>
      <c r="G874" s="1353">
        <f t="shared" ref="G874" si="71">E874*F874</f>
        <v>0</v>
      </c>
      <c r="I874" s="1365"/>
    </row>
    <row r="875" spans="2:9" s="1364" customFormat="1">
      <c r="B875" s="1350"/>
      <c r="C875" s="1342"/>
      <c r="D875" s="1343"/>
      <c r="E875" s="1343"/>
      <c r="F875" s="62"/>
      <c r="G875" s="1351"/>
      <c r="I875" s="1365"/>
    </row>
    <row r="876" spans="2:9" s="1364" customFormat="1">
      <c r="B876" s="1346" t="s">
        <v>3403</v>
      </c>
      <c r="C876" s="1362" t="str">
        <f>"UKUPNO - "&amp;C862&amp;" (€):"</f>
        <v>UKUPNO - SADNJA TRAVNJAKA (€):</v>
      </c>
      <c r="D876" s="1363"/>
      <c r="E876" s="1363"/>
      <c r="F876" s="1439"/>
      <c r="G876" s="1349">
        <f>SUM(G862:G875)</f>
        <v>0</v>
      </c>
      <c r="I876" s="1365"/>
    </row>
    <row r="877" spans="2:9" s="1364" customFormat="1">
      <c r="B877" s="1350"/>
      <c r="C877" s="1342"/>
      <c r="D877" s="1343"/>
      <c r="E877" s="1343"/>
      <c r="F877" s="62"/>
      <c r="G877" s="1351"/>
      <c r="I877" s="1365"/>
    </row>
    <row r="878" spans="2:9" s="1364" customFormat="1">
      <c r="B878" s="1350"/>
      <c r="C878" s="1342"/>
      <c r="D878" s="1343"/>
      <c r="E878" s="1343"/>
      <c r="F878" s="62"/>
      <c r="G878" s="1351"/>
      <c r="I878" s="1365"/>
    </row>
    <row r="879" spans="2:9">
      <c r="B879" s="1346" t="s">
        <v>3411</v>
      </c>
      <c r="C879" s="1347" t="s">
        <v>3412</v>
      </c>
      <c r="D879" s="1348"/>
      <c r="E879" s="1348"/>
      <c r="F879" s="1440"/>
      <c r="G879" s="1349"/>
    </row>
    <row r="880" spans="2:9" s="1364" customFormat="1">
      <c r="B880" s="1350"/>
      <c r="C880" s="1342"/>
      <c r="D880" s="1343"/>
      <c r="E880" s="1343"/>
      <c r="F880" s="62"/>
      <c r="G880" s="1351"/>
      <c r="I880" s="1365"/>
    </row>
    <row r="881" spans="2:9" s="1364" customFormat="1" ht="51">
      <c r="B881" s="1396"/>
      <c r="C881" s="1355" t="s">
        <v>3413</v>
      </c>
      <c r="D881" s="1343"/>
      <c r="E881" s="1401"/>
      <c r="F881" s="62"/>
      <c r="G881" s="1353"/>
      <c r="I881" s="1365"/>
    </row>
    <row r="882" spans="2:9" s="1364" customFormat="1">
      <c r="B882" s="1396"/>
      <c r="C882" s="1355"/>
      <c r="D882" s="1343"/>
      <c r="E882" s="1401"/>
      <c r="F882" s="62"/>
      <c r="G882" s="1353"/>
      <c r="I882" s="1365"/>
    </row>
    <row r="883" spans="2:9" s="1364" customFormat="1">
      <c r="B883" s="1396"/>
      <c r="C883" s="1355" t="s">
        <v>3414</v>
      </c>
      <c r="D883" s="1343"/>
      <c r="E883" s="1401"/>
      <c r="F883" s="62"/>
      <c r="G883" s="1353"/>
      <c r="I883" s="1365"/>
    </row>
    <row r="884" spans="2:9" s="1364" customFormat="1">
      <c r="B884" s="1396"/>
      <c r="C884" s="1355" t="s">
        <v>5620</v>
      </c>
      <c r="D884" s="1343"/>
      <c r="E884" s="1401"/>
      <c r="F884" s="62"/>
      <c r="G884" s="1353"/>
      <c r="I884" s="1365"/>
    </row>
    <row r="885" spans="2:9" s="1364" customFormat="1" ht="38.25">
      <c r="B885" s="1396"/>
      <c r="C885" s="1355" t="s">
        <v>3415</v>
      </c>
      <c r="D885" s="1343"/>
      <c r="E885" s="1401"/>
      <c r="F885" s="62"/>
      <c r="G885" s="1353"/>
      <c r="I885" s="1365"/>
    </row>
    <row r="886" spans="2:9" s="1364" customFormat="1">
      <c r="B886" s="1396"/>
      <c r="C886" s="1355" t="s">
        <v>3416</v>
      </c>
      <c r="D886" s="1343"/>
      <c r="E886" s="1401"/>
      <c r="F886" s="62"/>
      <c r="G886" s="1353"/>
      <c r="I886" s="1365"/>
    </row>
    <row r="887" spans="2:9" s="1364" customFormat="1">
      <c r="B887" s="1396"/>
      <c r="C887" s="1355"/>
      <c r="D887" s="1343"/>
      <c r="E887" s="1401"/>
      <c r="F887" s="62"/>
      <c r="G887" s="1353"/>
      <c r="I887" s="1365"/>
    </row>
    <row r="888" spans="2:9" s="1364" customFormat="1">
      <c r="B888" s="1396"/>
      <c r="C888" s="1355" t="s">
        <v>5621</v>
      </c>
      <c r="D888" s="1343"/>
      <c r="E888" s="1401"/>
      <c r="F888" s="62"/>
      <c r="G888" s="1353"/>
      <c r="I888" s="1365"/>
    </row>
    <row r="889" spans="2:9" s="1364" customFormat="1" ht="51">
      <c r="B889" s="1396"/>
      <c r="C889" s="1355" t="s">
        <v>3417</v>
      </c>
      <c r="D889" s="1343"/>
      <c r="E889" s="1401"/>
      <c r="F889" s="62"/>
      <c r="G889" s="1353"/>
      <c r="I889" s="1365"/>
    </row>
    <row r="890" spans="2:9" s="1364" customFormat="1">
      <c r="B890" s="1396"/>
      <c r="C890" s="1355" t="s">
        <v>3418</v>
      </c>
      <c r="D890" s="1343"/>
      <c r="E890" s="1401"/>
      <c r="F890" s="62"/>
      <c r="G890" s="1353"/>
      <c r="I890" s="1365"/>
    </row>
    <row r="891" spans="2:9" s="1364" customFormat="1" ht="38.25">
      <c r="B891" s="1396"/>
      <c r="C891" s="1355" t="s">
        <v>3419</v>
      </c>
      <c r="D891" s="1343"/>
      <c r="E891" s="1401"/>
      <c r="F891" s="62"/>
      <c r="G891" s="1353"/>
      <c r="I891" s="1365"/>
    </row>
    <row r="892" spans="2:9" s="1364" customFormat="1">
      <c r="B892" s="1396"/>
      <c r="C892" s="1406" t="s">
        <v>3420</v>
      </c>
      <c r="D892" s="1345" t="s">
        <v>82</v>
      </c>
      <c r="E892" s="1401">
        <v>1</v>
      </c>
      <c r="F892" s="62"/>
      <c r="G892" s="1353">
        <f t="shared" ref="G892" si="72">E892*F892</f>
        <v>0</v>
      </c>
      <c r="I892" s="1365"/>
    </row>
    <row r="893" spans="2:9" s="1364" customFormat="1">
      <c r="B893" s="1350"/>
      <c r="C893" s="1342"/>
      <c r="D893" s="1343"/>
      <c r="E893" s="1343"/>
      <c r="F893" s="62"/>
      <c r="G893" s="1351"/>
      <c r="I893" s="1365"/>
    </row>
    <row r="894" spans="2:9" s="1364" customFormat="1">
      <c r="B894" s="1350"/>
      <c r="C894" s="1342"/>
      <c r="D894" s="1343"/>
      <c r="E894" s="1343"/>
      <c r="F894" s="62"/>
      <c r="G894" s="1351"/>
      <c r="I894" s="1365"/>
    </row>
    <row r="895" spans="2:9" s="1364" customFormat="1">
      <c r="B895" s="1346" t="s">
        <v>3411</v>
      </c>
      <c r="C895" s="1362" t="str">
        <f>"UKUPNO - "&amp;C879&amp;" (€):"</f>
        <v>UKUPNO - FITOSANITETSKA ZAŠTITA (€):</v>
      </c>
      <c r="D895" s="1363"/>
      <c r="E895" s="1363"/>
      <c r="F895" s="1439"/>
      <c r="G895" s="1349">
        <f>SUM(G879:G894)</f>
        <v>0</v>
      </c>
      <c r="I895" s="1365"/>
    </row>
    <row r="896" spans="2:9" s="1364" customFormat="1">
      <c r="B896" s="1350"/>
      <c r="C896" s="1342"/>
      <c r="D896" s="1343"/>
      <c r="E896" s="1343"/>
      <c r="F896" s="62"/>
      <c r="G896" s="1351"/>
      <c r="I896" s="1365"/>
    </row>
    <row r="897" spans="1:9" s="1364" customFormat="1">
      <c r="B897" s="1350"/>
      <c r="C897" s="1342"/>
      <c r="D897" s="1343"/>
      <c r="E897" s="1343"/>
      <c r="F897" s="62"/>
      <c r="G897" s="1351"/>
      <c r="I897" s="1365"/>
    </row>
    <row r="898" spans="1:9">
      <c r="B898" s="1346" t="s">
        <v>3421</v>
      </c>
      <c r="C898" s="1347" t="s">
        <v>3422</v>
      </c>
      <c r="D898" s="1348"/>
      <c r="E898" s="1348"/>
      <c r="F898" s="1440"/>
      <c r="G898" s="1349"/>
    </row>
    <row r="899" spans="1:9" s="1364" customFormat="1">
      <c r="B899" s="1350"/>
      <c r="C899" s="1342"/>
      <c r="D899" s="1343"/>
      <c r="E899" s="1343"/>
      <c r="F899" s="62"/>
      <c r="G899" s="1351"/>
      <c r="I899" s="1365"/>
    </row>
    <row r="900" spans="1:9" s="1364" customFormat="1">
      <c r="B900" s="1350"/>
      <c r="C900" s="1364" t="s">
        <v>3423</v>
      </c>
      <c r="D900" s="1406" t="s">
        <v>3424</v>
      </c>
      <c r="E900" s="1343"/>
      <c r="F900" s="62"/>
      <c r="G900" s="1351"/>
      <c r="I900" s="1365"/>
    </row>
    <row r="901" spans="1:9" s="1364" customFormat="1">
      <c r="B901" s="1350"/>
      <c r="C901" s="1342"/>
      <c r="D901" s="1343"/>
      <c r="E901" s="1343"/>
      <c r="F901" s="62"/>
      <c r="G901" s="1351"/>
      <c r="I901" s="1365"/>
    </row>
    <row r="902" spans="1:9" s="1364" customFormat="1">
      <c r="B902" s="1350"/>
      <c r="C902" s="1407" t="s">
        <v>3425</v>
      </c>
      <c r="D902" s="1408"/>
      <c r="E902" s="1409"/>
      <c r="F902" s="1444"/>
      <c r="G902" s="1351"/>
      <c r="I902" s="1365"/>
    </row>
    <row r="903" spans="1:9" s="1364" customFormat="1" ht="38.25">
      <c r="B903" s="1350"/>
      <c r="C903" s="1357" t="s">
        <v>3426</v>
      </c>
      <c r="D903" s="1410"/>
      <c r="E903" s="1410"/>
      <c r="F903" s="1445"/>
      <c r="G903" s="1351"/>
      <c r="I903" s="1365"/>
    </row>
    <row r="904" spans="1:9" s="1364" customFormat="1" ht="25.5">
      <c r="B904" s="1350"/>
      <c r="C904" s="1352" t="s">
        <v>3427</v>
      </c>
      <c r="D904" s="1343"/>
      <c r="E904" s="1343"/>
      <c r="F904" s="62"/>
      <c r="G904" s="1351"/>
      <c r="I904" s="1365"/>
    </row>
    <row r="905" spans="1:9" s="1364" customFormat="1" ht="25.5">
      <c r="B905" s="1350"/>
      <c r="C905" s="1352" t="s">
        <v>3428</v>
      </c>
      <c r="D905" s="1343"/>
      <c r="E905" s="1343"/>
      <c r="F905" s="62"/>
      <c r="G905" s="1351"/>
      <c r="I905" s="1365"/>
    </row>
    <row r="906" spans="1:9" s="1364" customFormat="1" ht="25.5">
      <c r="B906" s="1350"/>
      <c r="C906" s="1352" t="s">
        <v>3429</v>
      </c>
      <c r="D906" s="1343"/>
      <c r="E906" s="1343"/>
      <c r="F906" s="62"/>
      <c r="G906" s="1351"/>
      <c r="I906" s="1365"/>
    </row>
    <row r="907" spans="1:9" s="1364" customFormat="1" ht="51">
      <c r="B907" s="1350"/>
      <c r="C907" s="1352" t="s">
        <v>3430</v>
      </c>
      <c r="D907" s="1343"/>
      <c r="E907" s="1343"/>
      <c r="F907" s="62"/>
      <c r="G907" s="1351"/>
      <c r="I907" s="1365"/>
    </row>
    <row r="908" spans="1:9" s="1364" customFormat="1" ht="51">
      <c r="B908" s="1350"/>
      <c r="C908" s="1352" t="s">
        <v>3431</v>
      </c>
      <c r="D908" s="1343"/>
      <c r="E908" s="1343"/>
      <c r="F908" s="62"/>
      <c r="G908" s="1351"/>
      <c r="I908" s="1365"/>
    </row>
    <row r="909" spans="1:9" s="1364" customFormat="1" ht="51">
      <c r="B909" s="1350"/>
      <c r="C909" s="1352" t="s">
        <v>3432</v>
      </c>
      <c r="D909" s="1343"/>
      <c r="E909" s="1343"/>
      <c r="F909" s="62"/>
      <c r="G909" s="1351"/>
      <c r="I909" s="1365"/>
    </row>
    <row r="910" spans="1:9" s="1364" customFormat="1">
      <c r="B910" s="1350"/>
      <c r="C910" s="1360"/>
      <c r="D910" s="1411"/>
      <c r="E910" s="1411"/>
      <c r="F910" s="1446"/>
      <c r="G910" s="1412"/>
      <c r="I910" s="1365"/>
    </row>
    <row r="911" spans="1:9" s="1364" customFormat="1">
      <c r="A911" s="1345"/>
      <c r="B911" s="1350" t="s">
        <v>3433</v>
      </c>
      <c r="C911" s="1352" t="s">
        <v>3434</v>
      </c>
      <c r="D911" s="1343"/>
      <c r="E911" s="1343"/>
      <c r="F911" s="62"/>
      <c r="G911" s="1351"/>
      <c r="I911" s="1365"/>
    </row>
    <row r="912" spans="1:9" s="1364" customFormat="1">
      <c r="A912" s="1345"/>
      <c r="B912" s="1350"/>
      <c r="C912" s="1352"/>
      <c r="D912" s="1343"/>
      <c r="E912" s="1343"/>
      <c r="F912" s="62"/>
      <c r="G912" s="1351"/>
      <c r="I912" s="1365"/>
    </row>
    <row r="913" spans="1:9" s="1364" customFormat="1" ht="25.5">
      <c r="A913" s="1345"/>
      <c r="B913" s="1350" t="s">
        <v>3435</v>
      </c>
      <c r="C913" s="1393" t="s">
        <v>3436</v>
      </c>
      <c r="D913" s="1343"/>
      <c r="E913" s="1343"/>
      <c r="F913" s="62"/>
      <c r="G913" s="1351"/>
      <c r="I913" s="1365"/>
    </row>
    <row r="914" spans="1:9" s="1364" customFormat="1">
      <c r="A914" s="1345"/>
      <c r="B914" s="1350"/>
      <c r="C914" s="1352"/>
      <c r="D914" s="1343" t="s">
        <v>34</v>
      </c>
      <c r="E914" s="1356">
        <v>2</v>
      </c>
      <c r="F914" s="62"/>
      <c r="G914" s="1413">
        <f>E914*F914</f>
        <v>0</v>
      </c>
      <c r="I914" s="1365"/>
    </row>
    <row r="915" spans="1:9" s="1364" customFormat="1">
      <c r="A915" s="1345"/>
      <c r="B915" s="1350"/>
      <c r="C915" s="1352"/>
      <c r="D915" s="1343"/>
      <c r="E915" s="1356"/>
      <c r="F915" s="62"/>
      <c r="G915" s="1413"/>
      <c r="I915" s="1365"/>
    </row>
    <row r="916" spans="1:9" s="1364" customFormat="1" ht="25.5">
      <c r="A916" s="1345"/>
      <c r="B916" s="1350" t="s">
        <v>3437</v>
      </c>
      <c r="C916" s="1393" t="s">
        <v>3438</v>
      </c>
      <c r="D916" s="1343"/>
      <c r="E916" s="1343"/>
      <c r="F916" s="62"/>
      <c r="G916" s="1351"/>
      <c r="I916" s="1365"/>
    </row>
    <row r="917" spans="1:9" s="1364" customFormat="1">
      <c r="A917" s="1345"/>
      <c r="B917" s="1350"/>
      <c r="C917" s="1352"/>
      <c r="D917" s="1343" t="s">
        <v>34</v>
      </c>
      <c r="E917" s="1356">
        <f>E914</f>
        <v>2</v>
      </c>
      <c r="F917" s="62"/>
      <c r="G917" s="1413">
        <f>+F917*E917</f>
        <v>0</v>
      </c>
      <c r="I917" s="1365"/>
    </row>
    <row r="918" spans="1:9" s="1364" customFormat="1">
      <c r="A918" s="1345"/>
      <c r="B918" s="1350"/>
      <c r="C918" s="1352"/>
      <c r="D918" s="1343"/>
      <c r="E918" s="1343"/>
      <c r="F918" s="62"/>
      <c r="G918" s="1351"/>
      <c r="I918" s="1365"/>
    </row>
    <row r="919" spans="1:9" s="1364" customFormat="1" ht="25.5">
      <c r="A919" s="1345"/>
      <c r="B919" s="1350" t="s">
        <v>3439</v>
      </c>
      <c r="C919" s="1357" t="s">
        <v>3440</v>
      </c>
      <c r="D919" s="1343"/>
      <c r="E919" s="1343"/>
      <c r="F919" s="62"/>
      <c r="G919" s="1351"/>
      <c r="I919" s="1365"/>
    </row>
    <row r="920" spans="1:9" s="1364" customFormat="1">
      <c r="A920" s="1345"/>
      <c r="B920" s="1350"/>
      <c r="C920" s="1352"/>
      <c r="D920" s="1343" t="s">
        <v>34</v>
      </c>
      <c r="E920" s="1356">
        <v>2</v>
      </c>
      <c r="F920" s="62"/>
      <c r="G920" s="1414">
        <f>F920*E920</f>
        <v>0</v>
      </c>
      <c r="I920" s="1365"/>
    </row>
    <row r="921" spans="1:9" s="1364" customFormat="1">
      <c r="A921" s="1345"/>
      <c r="B921" s="1350"/>
      <c r="C921" s="1352"/>
      <c r="D921" s="1343"/>
      <c r="E921" s="1343"/>
      <c r="F921" s="62"/>
      <c r="G921" s="1351"/>
      <c r="I921" s="1365"/>
    </row>
    <row r="922" spans="1:9" s="1364" customFormat="1" ht="25.5">
      <c r="A922" s="1345"/>
      <c r="B922" s="1350" t="s">
        <v>3441</v>
      </c>
      <c r="C922" s="1357" t="s">
        <v>3442</v>
      </c>
      <c r="D922" s="1343"/>
      <c r="E922" s="1343"/>
      <c r="F922" s="62"/>
      <c r="G922" s="1351"/>
      <c r="I922" s="1365"/>
    </row>
    <row r="923" spans="1:9" s="1364" customFormat="1">
      <c r="A923" s="1345"/>
      <c r="B923" s="1350"/>
      <c r="C923" s="1352"/>
      <c r="D923" s="1343" t="s">
        <v>34</v>
      </c>
      <c r="E923" s="1356">
        <v>2</v>
      </c>
      <c r="F923" s="62"/>
      <c r="G923" s="1414">
        <f>F923*E923</f>
        <v>0</v>
      </c>
      <c r="I923" s="1365"/>
    </row>
    <row r="924" spans="1:9" s="1364" customFormat="1">
      <c r="A924" s="1345"/>
      <c r="B924" s="1350"/>
      <c r="C924" s="1360"/>
      <c r="D924" s="1411"/>
      <c r="E924" s="1415"/>
      <c r="F924" s="1446"/>
      <c r="G924" s="1416"/>
      <c r="I924" s="1365"/>
    </row>
    <row r="925" spans="1:9" s="1364" customFormat="1">
      <c r="A925" s="1345"/>
      <c r="B925" s="1350"/>
      <c r="C925" s="1352" t="s">
        <v>3443</v>
      </c>
      <c r="D925" s="1343"/>
      <c r="E925" s="1343"/>
      <c r="F925" s="62"/>
      <c r="G925" s="1351">
        <f>SUM(G911:G924)</f>
        <v>0</v>
      </c>
      <c r="I925" s="1365"/>
    </row>
    <row r="926" spans="1:9" s="1364" customFormat="1">
      <c r="A926" s="1345"/>
      <c r="B926" s="1350"/>
      <c r="C926" s="1352"/>
      <c r="D926" s="1343"/>
      <c r="E926" s="1343"/>
      <c r="F926" s="62"/>
      <c r="G926" s="1351"/>
      <c r="I926" s="1365"/>
    </row>
    <row r="927" spans="1:9" s="1364" customFormat="1">
      <c r="A927" s="1345"/>
      <c r="B927" s="1350"/>
      <c r="C927" s="1352"/>
      <c r="D927" s="1343"/>
      <c r="E927" s="1343"/>
      <c r="F927" s="62"/>
      <c r="G927" s="1351"/>
      <c r="I927" s="1365"/>
    </row>
    <row r="928" spans="1:9" s="1364" customFormat="1">
      <c r="A928" s="1345"/>
      <c r="B928" s="1350" t="s">
        <v>3444</v>
      </c>
      <c r="C928" s="1417" t="s">
        <v>3445</v>
      </c>
      <c r="D928" s="1418"/>
      <c r="E928" s="1418"/>
      <c r="F928" s="1447"/>
      <c r="G928" s="1419"/>
      <c r="I928" s="1365"/>
    </row>
    <row r="929" spans="1:9" s="1364" customFormat="1">
      <c r="A929" s="1345"/>
      <c r="B929" s="1350"/>
      <c r="C929" s="1352"/>
      <c r="D929" s="1343"/>
      <c r="E929" s="1343"/>
      <c r="F929" s="62"/>
      <c r="G929" s="1351"/>
      <c r="I929" s="1365"/>
    </row>
    <row r="930" spans="1:9" s="1364" customFormat="1" ht="38.25">
      <c r="A930" s="1345"/>
      <c r="B930" s="1350" t="s">
        <v>3446</v>
      </c>
      <c r="C930" s="1393" t="s">
        <v>3447</v>
      </c>
      <c r="D930" s="1343"/>
      <c r="E930" s="1343"/>
      <c r="F930" s="62"/>
      <c r="G930" s="1351"/>
      <c r="I930" s="1365"/>
    </row>
    <row r="931" spans="1:9" s="1364" customFormat="1">
      <c r="A931" s="1345"/>
      <c r="B931" s="1350"/>
      <c r="C931" s="1352"/>
      <c r="D931" s="1343" t="s">
        <v>34</v>
      </c>
      <c r="E931" s="1356">
        <v>8</v>
      </c>
      <c r="F931" s="62"/>
      <c r="G931" s="1413">
        <f>E931*F931</f>
        <v>0</v>
      </c>
      <c r="I931" s="1365"/>
    </row>
    <row r="932" spans="1:9" s="1364" customFormat="1">
      <c r="A932" s="1345"/>
      <c r="B932" s="1350"/>
      <c r="C932" s="1352"/>
      <c r="D932" s="1343"/>
      <c r="E932" s="1356"/>
      <c r="F932" s="62"/>
      <c r="G932" s="1413"/>
      <c r="I932" s="1365"/>
    </row>
    <row r="933" spans="1:9" s="1364" customFormat="1" ht="25.5">
      <c r="A933" s="1345"/>
      <c r="B933" s="1350" t="s">
        <v>3448</v>
      </c>
      <c r="C933" s="1393" t="s">
        <v>3449</v>
      </c>
      <c r="D933" s="1343"/>
      <c r="E933" s="1343"/>
      <c r="F933" s="62"/>
      <c r="G933" s="1351"/>
      <c r="I933" s="1365"/>
    </row>
    <row r="934" spans="1:9" s="1364" customFormat="1">
      <c r="A934" s="1345"/>
      <c r="B934" s="1350"/>
      <c r="C934" s="1352"/>
      <c r="D934" s="1343" t="s">
        <v>34</v>
      </c>
      <c r="E934" s="1356">
        <v>2</v>
      </c>
      <c r="F934" s="62"/>
      <c r="G934" s="1413">
        <f>+F934*E934</f>
        <v>0</v>
      </c>
      <c r="I934" s="1365"/>
    </row>
    <row r="935" spans="1:9" s="1364" customFormat="1">
      <c r="A935" s="1345"/>
      <c r="B935" s="1350"/>
      <c r="C935" s="1352"/>
      <c r="D935" s="1343"/>
      <c r="E935" s="1343"/>
      <c r="F935" s="62"/>
      <c r="G935" s="1351"/>
      <c r="I935" s="1365"/>
    </row>
    <row r="936" spans="1:9" s="1364" customFormat="1" ht="25.5">
      <c r="A936" s="1345"/>
      <c r="B936" s="1350" t="s">
        <v>3450</v>
      </c>
      <c r="C936" s="1357" t="s">
        <v>3451</v>
      </c>
      <c r="D936" s="1343"/>
      <c r="E936" s="1343"/>
      <c r="F936" s="62"/>
      <c r="G936" s="1351"/>
      <c r="I936" s="1365"/>
    </row>
    <row r="937" spans="1:9" s="1364" customFormat="1">
      <c r="A937" s="1345"/>
      <c r="B937" s="1350"/>
      <c r="C937" s="1352"/>
      <c r="D937" s="1343" t="s">
        <v>34</v>
      </c>
      <c r="E937" s="1356">
        <v>20</v>
      </c>
      <c r="F937" s="62"/>
      <c r="G937" s="1414">
        <f>F937*E937</f>
        <v>0</v>
      </c>
      <c r="I937" s="1365"/>
    </row>
    <row r="938" spans="1:9" s="1364" customFormat="1">
      <c r="A938" s="1345"/>
      <c r="B938" s="1350"/>
      <c r="C938" s="1352"/>
      <c r="D938" s="1343"/>
      <c r="E938" s="1343"/>
      <c r="F938" s="62"/>
      <c r="G938" s="1351"/>
      <c r="I938" s="1365"/>
    </row>
    <row r="939" spans="1:9" s="1364" customFormat="1">
      <c r="A939" s="1345"/>
      <c r="B939" s="1350" t="s">
        <v>3452</v>
      </c>
      <c r="C939" s="1357" t="s">
        <v>3453</v>
      </c>
      <c r="D939" s="1343"/>
      <c r="E939" s="1343"/>
      <c r="F939" s="62"/>
      <c r="G939" s="1351"/>
      <c r="I939" s="1365"/>
    </row>
    <row r="940" spans="1:9" s="1364" customFormat="1">
      <c r="A940" s="1345"/>
      <c r="B940" s="1350"/>
      <c r="C940" s="1352"/>
      <c r="D940" s="1343" t="s">
        <v>34</v>
      </c>
      <c r="E940" s="1356">
        <v>2</v>
      </c>
      <c r="F940" s="62"/>
      <c r="G940" s="1414">
        <f>F940*E940</f>
        <v>0</v>
      </c>
      <c r="I940" s="1365"/>
    </row>
    <row r="941" spans="1:9" s="1364" customFormat="1">
      <c r="A941" s="1345"/>
      <c r="B941" s="1350"/>
      <c r="C941" s="1352"/>
      <c r="D941" s="1343"/>
      <c r="E941" s="1356"/>
      <c r="F941" s="62"/>
      <c r="G941" s="1414"/>
      <c r="I941" s="1365"/>
    </row>
    <row r="942" spans="1:9" s="1364" customFormat="1">
      <c r="A942" s="1345"/>
      <c r="B942" s="1350" t="s">
        <v>3454</v>
      </c>
      <c r="C942" s="1357" t="s">
        <v>3455</v>
      </c>
      <c r="D942" s="1343"/>
      <c r="E942" s="1343"/>
      <c r="F942" s="62"/>
      <c r="G942" s="1351"/>
      <c r="I942" s="1365"/>
    </row>
    <row r="943" spans="1:9" s="1364" customFormat="1">
      <c r="A943" s="1345"/>
      <c r="B943" s="1350"/>
      <c r="C943" s="1352"/>
      <c r="D943" s="1343" t="s">
        <v>34</v>
      </c>
      <c r="E943" s="1356">
        <v>1</v>
      </c>
      <c r="F943" s="62"/>
      <c r="G943" s="1414">
        <f>F943*E943</f>
        <v>0</v>
      </c>
      <c r="I943" s="1365"/>
    </row>
    <row r="944" spans="1:9" s="1364" customFormat="1">
      <c r="A944" s="1345"/>
      <c r="B944" s="1350"/>
      <c r="C944" s="1352"/>
      <c r="D944" s="1343"/>
      <c r="E944" s="1356"/>
      <c r="F944" s="62"/>
      <c r="G944" s="1414"/>
      <c r="I944" s="1365"/>
    </row>
    <row r="945" spans="1:9" s="1364" customFormat="1">
      <c r="A945" s="1345"/>
      <c r="B945" s="1350" t="s">
        <v>3456</v>
      </c>
      <c r="C945" s="1357" t="s">
        <v>3457</v>
      </c>
      <c r="D945" s="1343"/>
      <c r="E945" s="1343"/>
      <c r="F945" s="62"/>
      <c r="G945" s="1351"/>
      <c r="I945" s="1365"/>
    </row>
    <row r="946" spans="1:9" s="1364" customFormat="1">
      <c r="A946" s="1345"/>
      <c r="B946" s="1350"/>
      <c r="C946" s="1352"/>
      <c r="D946" s="1343" t="s">
        <v>34</v>
      </c>
      <c r="E946" s="1356">
        <v>1</v>
      </c>
      <c r="F946" s="62"/>
      <c r="G946" s="1414">
        <f>F946*E946</f>
        <v>0</v>
      </c>
      <c r="I946" s="1365"/>
    </row>
    <row r="947" spans="1:9" s="1364" customFormat="1">
      <c r="A947" s="1345"/>
      <c r="B947" s="1350"/>
      <c r="C947" s="1360"/>
      <c r="D947" s="1411"/>
      <c r="E947" s="1415"/>
      <c r="F947" s="1446"/>
      <c r="G947" s="1416"/>
      <c r="I947" s="1365"/>
    </row>
    <row r="948" spans="1:9" s="1364" customFormat="1">
      <c r="A948" s="1345"/>
      <c r="B948" s="1350"/>
      <c r="C948" s="1352" t="s">
        <v>3458</v>
      </c>
      <c r="D948" s="1343"/>
      <c r="E948" s="1343"/>
      <c r="F948" s="62"/>
      <c r="G948" s="1351">
        <f>SUM(G928:G947)</f>
        <v>0</v>
      </c>
      <c r="I948" s="1365"/>
    </row>
    <row r="949" spans="1:9" s="1364" customFormat="1">
      <c r="A949" s="1345"/>
      <c r="B949" s="1350"/>
      <c r="C949" s="1352"/>
      <c r="D949" s="1343"/>
      <c r="E949" s="1343"/>
      <c r="F949" s="62"/>
      <c r="G949" s="1351"/>
      <c r="I949" s="1365"/>
    </row>
    <row r="950" spans="1:9" s="1364" customFormat="1">
      <c r="A950" s="1345"/>
      <c r="B950" s="1350"/>
      <c r="C950" s="1352"/>
      <c r="D950" s="1343"/>
      <c r="E950" s="1343"/>
      <c r="F950" s="62"/>
      <c r="G950" s="1351"/>
      <c r="I950" s="1365"/>
    </row>
    <row r="951" spans="1:9" s="1364" customFormat="1">
      <c r="A951" s="1345"/>
      <c r="B951" s="1350" t="s">
        <v>3459</v>
      </c>
      <c r="C951" s="1417" t="s">
        <v>3460</v>
      </c>
      <c r="D951" s="1418"/>
      <c r="E951" s="1418"/>
      <c r="F951" s="1447"/>
      <c r="G951" s="1419"/>
      <c r="I951" s="1365"/>
    </row>
    <row r="952" spans="1:9" s="1364" customFormat="1">
      <c r="A952" s="1345"/>
      <c r="B952" s="1350"/>
      <c r="C952" s="1352"/>
      <c r="D952" s="1343"/>
      <c r="E952" s="1343"/>
      <c r="F952" s="62"/>
      <c r="G952" s="1351"/>
      <c r="I952" s="1365"/>
    </row>
    <row r="953" spans="1:9" s="1364" customFormat="1" ht="25.5">
      <c r="A953" s="1345"/>
      <c r="B953" s="1350" t="s">
        <v>3461</v>
      </c>
      <c r="C953" s="1393" t="s">
        <v>3462</v>
      </c>
      <c r="D953" s="1343"/>
      <c r="E953" s="1343"/>
      <c r="F953" s="62"/>
      <c r="G953" s="1351"/>
      <c r="I953" s="1365"/>
    </row>
    <row r="954" spans="1:9" s="1364" customFormat="1">
      <c r="A954" s="1345"/>
      <c r="B954" s="1350"/>
      <c r="C954" s="1352"/>
      <c r="D954" s="1343" t="s">
        <v>1184</v>
      </c>
      <c r="E954" s="1356">
        <v>600</v>
      </c>
      <c r="F954" s="62"/>
      <c r="G954" s="1413">
        <f>E954*F954</f>
        <v>0</v>
      </c>
      <c r="I954" s="1365"/>
    </row>
    <row r="955" spans="1:9" s="1364" customFormat="1">
      <c r="A955" s="1345"/>
      <c r="B955" s="1350"/>
      <c r="C955" s="1352"/>
      <c r="D955" s="1343"/>
      <c r="E955" s="1343"/>
      <c r="F955" s="62"/>
      <c r="G955" s="1351"/>
      <c r="I955" s="1365"/>
    </row>
    <row r="956" spans="1:9" s="1364" customFormat="1">
      <c r="A956" s="1345"/>
      <c r="B956" s="1350" t="s">
        <v>3463</v>
      </c>
      <c r="C956" s="1393" t="s">
        <v>3464</v>
      </c>
      <c r="D956" s="1343"/>
      <c r="E956" s="1343"/>
      <c r="F956" s="62"/>
      <c r="G956" s="1351"/>
      <c r="I956" s="1365"/>
    </row>
    <row r="957" spans="1:9" s="1364" customFormat="1">
      <c r="A957" s="1345"/>
      <c r="B957" s="1350"/>
      <c r="C957" s="1352"/>
      <c r="D957" s="1343" t="s">
        <v>34</v>
      </c>
      <c r="E957" s="1356">
        <v>50</v>
      </c>
      <c r="F957" s="62"/>
      <c r="G957" s="1413">
        <f>+F957*E957</f>
        <v>0</v>
      </c>
      <c r="I957" s="1365"/>
    </row>
    <row r="958" spans="1:9" s="1364" customFormat="1">
      <c r="A958" s="1345"/>
      <c r="B958" s="1350"/>
      <c r="C958" s="1352"/>
      <c r="D958" s="1343"/>
      <c r="E958" s="1343"/>
      <c r="F958" s="62"/>
      <c r="G958" s="1351"/>
      <c r="I958" s="1365"/>
    </row>
    <row r="959" spans="1:9" s="1364" customFormat="1" ht="25.5">
      <c r="A959" s="1345"/>
      <c r="B959" s="1350" t="s">
        <v>3465</v>
      </c>
      <c r="C959" s="1357" t="s">
        <v>3466</v>
      </c>
      <c r="D959" s="1343"/>
      <c r="E959" s="1343"/>
      <c r="F959" s="62"/>
      <c r="G959" s="1351"/>
      <c r="I959" s="1365"/>
    </row>
    <row r="960" spans="1:9" s="1364" customFormat="1">
      <c r="A960" s="1345"/>
      <c r="B960" s="1350"/>
      <c r="C960" s="1352"/>
      <c r="D960" s="1343" t="s">
        <v>34</v>
      </c>
      <c r="E960" s="1356">
        <v>50</v>
      </c>
      <c r="F960" s="62"/>
      <c r="G960" s="1414">
        <f>F960*E960</f>
        <v>0</v>
      </c>
      <c r="I960" s="1365"/>
    </row>
    <row r="961" spans="1:9" s="1364" customFormat="1">
      <c r="A961" s="1345"/>
      <c r="B961" s="1350"/>
      <c r="C961" s="1352"/>
      <c r="D961" s="1343"/>
      <c r="E961" s="1356"/>
      <c r="F961" s="62"/>
      <c r="G961" s="1414"/>
      <c r="I961" s="1365"/>
    </row>
    <row r="962" spans="1:9" s="1364" customFormat="1" ht="25.5">
      <c r="A962" s="1345"/>
      <c r="B962" s="1350" t="s">
        <v>3467</v>
      </c>
      <c r="C962" s="1357" t="s">
        <v>3468</v>
      </c>
      <c r="D962" s="1343"/>
      <c r="E962" s="1343"/>
      <c r="F962" s="62"/>
      <c r="G962" s="1351"/>
      <c r="I962" s="1365"/>
    </row>
    <row r="963" spans="1:9" s="1364" customFormat="1">
      <c r="A963" s="1345"/>
      <c r="B963" s="1350"/>
      <c r="C963" s="1352"/>
      <c r="D963" s="1343" t="s">
        <v>34</v>
      </c>
      <c r="E963" s="1356">
        <v>50</v>
      </c>
      <c r="F963" s="62"/>
      <c r="G963" s="1414">
        <f>F963*E963</f>
        <v>0</v>
      </c>
      <c r="I963" s="1365"/>
    </row>
    <row r="964" spans="1:9" s="1364" customFormat="1">
      <c r="A964" s="1345"/>
      <c r="B964" s="1350"/>
      <c r="C964" s="1352"/>
      <c r="D964" s="1343"/>
      <c r="E964" s="1356"/>
      <c r="F964" s="62"/>
      <c r="G964" s="1414"/>
      <c r="I964" s="1365"/>
    </row>
    <row r="965" spans="1:9" s="1364" customFormat="1">
      <c r="A965" s="1345"/>
      <c r="B965" s="1350" t="s">
        <v>3469</v>
      </c>
      <c r="C965" s="1357" t="s">
        <v>3470</v>
      </c>
      <c r="D965" s="1343"/>
      <c r="E965" s="1343"/>
      <c r="F965" s="62"/>
      <c r="G965" s="1351"/>
      <c r="I965" s="1365"/>
    </row>
    <row r="966" spans="1:9" s="1364" customFormat="1">
      <c r="A966" s="1345"/>
      <c r="B966" s="1350"/>
      <c r="C966" s="1352"/>
      <c r="D966" s="1343" t="s">
        <v>34</v>
      </c>
      <c r="E966" s="1356">
        <v>50</v>
      </c>
      <c r="F966" s="62"/>
      <c r="G966" s="1414">
        <f>F966*E966</f>
        <v>0</v>
      </c>
      <c r="I966" s="1365"/>
    </row>
    <row r="967" spans="1:9" s="1364" customFormat="1">
      <c r="A967" s="1345"/>
      <c r="B967" s="1350"/>
      <c r="C967" s="1352"/>
      <c r="D967" s="1343"/>
      <c r="E967" s="1356"/>
      <c r="F967" s="62"/>
      <c r="G967" s="1414"/>
      <c r="I967" s="1365"/>
    </row>
    <row r="968" spans="1:9" s="1364" customFormat="1">
      <c r="A968" s="1345"/>
      <c r="B968" s="1350" t="s">
        <v>3471</v>
      </c>
      <c r="C968" s="1357" t="s">
        <v>3472</v>
      </c>
      <c r="D968" s="1343"/>
      <c r="E968" s="1343"/>
      <c r="F968" s="62"/>
      <c r="G968" s="1351"/>
      <c r="I968" s="1365"/>
    </row>
    <row r="969" spans="1:9" s="1364" customFormat="1">
      <c r="A969" s="1345"/>
      <c r="B969" s="1350"/>
      <c r="C969" s="1352"/>
      <c r="D969" s="1343" t="s">
        <v>34</v>
      </c>
      <c r="E969" s="1356">
        <v>3</v>
      </c>
      <c r="F969" s="62"/>
      <c r="G969" s="1414">
        <f>F969*E969</f>
        <v>0</v>
      </c>
      <c r="I969" s="1365"/>
    </row>
    <row r="970" spans="1:9" s="1364" customFormat="1">
      <c r="A970" s="1345"/>
      <c r="B970" s="1350"/>
      <c r="C970" s="1360"/>
      <c r="D970" s="1411"/>
      <c r="E970" s="1415"/>
      <c r="F970" s="1446"/>
      <c r="G970" s="1416"/>
      <c r="I970" s="1365"/>
    </row>
    <row r="971" spans="1:9" s="1364" customFormat="1">
      <c r="A971" s="1345"/>
      <c r="B971" s="1350"/>
      <c r="C971" s="1352" t="s">
        <v>3473</v>
      </c>
      <c r="D971" s="1343"/>
      <c r="E971" s="1343"/>
      <c r="F971" s="62"/>
      <c r="G971" s="1351">
        <f>SUM(G951:G970)</f>
        <v>0</v>
      </c>
      <c r="I971" s="1365"/>
    </row>
    <row r="972" spans="1:9" s="1364" customFormat="1">
      <c r="A972" s="1345"/>
      <c r="B972" s="1350"/>
      <c r="C972" s="1352"/>
      <c r="D972" s="1343"/>
      <c r="E972" s="1343"/>
      <c r="F972" s="62"/>
      <c r="G972" s="1351"/>
      <c r="I972" s="1365"/>
    </row>
    <row r="973" spans="1:9" s="1364" customFormat="1">
      <c r="A973" s="1345"/>
      <c r="B973" s="1350"/>
      <c r="C973" s="1352"/>
      <c r="D973" s="1343"/>
      <c r="E973" s="1343"/>
      <c r="F973" s="62"/>
      <c r="G973" s="1351"/>
      <c r="I973" s="1365"/>
    </row>
    <row r="974" spans="1:9" s="1364" customFormat="1">
      <c r="A974" s="1345"/>
      <c r="B974" s="1350" t="s">
        <v>3474</v>
      </c>
      <c r="C974" s="1417" t="s">
        <v>3475</v>
      </c>
      <c r="D974" s="1418"/>
      <c r="E974" s="1418"/>
      <c r="F974" s="1447"/>
      <c r="G974" s="1419"/>
      <c r="I974" s="1365"/>
    </row>
    <row r="975" spans="1:9" s="1364" customFormat="1">
      <c r="A975" s="1345"/>
      <c r="B975" s="1350"/>
      <c r="C975" s="1352"/>
      <c r="D975" s="1343"/>
      <c r="E975" s="1343"/>
      <c r="F975" s="62"/>
      <c r="G975" s="1351"/>
      <c r="I975" s="1365"/>
    </row>
    <row r="976" spans="1:9" s="1364" customFormat="1" ht="25.5">
      <c r="A976" s="1345"/>
      <c r="B976" s="1350" t="s">
        <v>3476</v>
      </c>
      <c r="C976" s="1393" t="s">
        <v>3477</v>
      </c>
      <c r="D976" s="1343"/>
      <c r="E976" s="1343"/>
      <c r="F976" s="62"/>
      <c r="G976" s="1351"/>
      <c r="I976" s="1365"/>
    </row>
    <row r="977" spans="1:9" s="1364" customFormat="1">
      <c r="A977" s="1345"/>
      <c r="B977" s="1350"/>
      <c r="C977" s="1352"/>
      <c r="D977" s="1343" t="s">
        <v>82</v>
      </c>
      <c r="E977" s="1356">
        <v>1</v>
      </c>
      <c r="F977" s="62"/>
      <c r="G977" s="1413">
        <f>E977*F977</f>
        <v>0</v>
      </c>
      <c r="I977" s="1365"/>
    </row>
    <row r="978" spans="1:9" s="1364" customFormat="1">
      <c r="A978" s="1345"/>
      <c r="B978" s="1350"/>
      <c r="C978" s="1352"/>
      <c r="D978" s="1343"/>
      <c r="E978" s="1343"/>
      <c r="F978" s="62"/>
      <c r="G978" s="1351"/>
      <c r="I978" s="1365"/>
    </row>
    <row r="979" spans="1:9" s="1364" customFormat="1" ht="25.5">
      <c r="A979" s="1345"/>
      <c r="B979" s="1350" t="s">
        <v>3478</v>
      </c>
      <c r="C979" s="1393" t="s">
        <v>3479</v>
      </c>
      <c r="D979" s="1343"/>
      <c r="E979" s="1343"/>
      <c r="F979" s="62"/>
      <c r="G979" s="1351"/>
      <c r="I979" s="1365"/>
    </row>
    <row r="980" spans="1:9" s="1364" customFormat="1">
      <c r="A980" s="1345"/>
      <c r="B980" s="1350"/>
      <c r="C980" s="1352"/>
      <c r="D980" s="1343" t="s">
        <v>82</v>
      </c>
      <c r="E980" s="1356">
        <v>1</v>
      </c>
      <c r="F980" s="62"/>
      <c r="G980" s="1413">
        <f>E980*F980</f>
        <v>0</v>
      </c>
      <c r="I980" s="1365"/>
    </row>
    <row r="981" spans="1:9" s="1364" customFormat="1">
      <c r="A981" s="1345"/>
      <c r="B981" s="1350"/>
      <c r="C981" s="1360"/>
      <c r="D981" s="1411"/>
      <c r="E981" s="1411"/>
      <c r="F981" s="1446"/>
      <c r="G981" s="1412"/>
      <c r="I981" s="1365"/>
    </row>
    <row r="982" spans="1:9" s="1364" customFormat="1">
      <c r="A982" s="1345"/>
      <c r="B982" s="1350"/>
      <c r="C982" s="1352" t="s">
        <v>3473</v>
      </c>
      <c r="D982" s="1343"/>
      <c r="E982" s="1343"/>
      <c r="F982" s="62"/>
      <c r="G982" s="1351">
        <f>SUM(G974:G981)</f>
        <v>0</v>
      </c>
      <c r="I982" s="1365"/>
    </row>
    <row r="983" spans="1:9" s="1364" customFormat="1">
      <c r="A983" s="1345"/>
      <c r="B983" s="1350"/>
      <c r="C983" s="1352"/>
      <c r="D983" s="1343"/>
      <c r="E983" s="1343"/>
      <c r="F983" s="62"/>
      <c r="G983" s="1351"/>
      <c r="I983" s="1365"/>
    </row>
    <row r="984" spans="1:9" s="1364" customFormat="1">
      <c r="A984" s="1345"/>
      <c r="B984" s="1350"/>
      <c r="C984" s="1352"/>
      <c r="D984" s="1343"/>
      <c r="E984" s="1343"/>
      <c r="F984" s="62"/>
      <c r="G984" s="1351"/>
      <c r="I984" s="1365"/>
    </row>
    <row r="985" spans="1:9" s="1364" customFormat="1">
      <c r="A985" s="1345"/>
      <c r="B985" s="1350" t="s">
        <v>3480</v>
      </c>
      <c r="C985" s="1417" t="s">
        <v>3481</v>
      </c>
      <c r="D985" s="1418"/>
      <c r="E985" s="1418"/>
      <c r="F985" s="1447"/>
      <c r="G985" s="1419"/>
      <c r="I985" s="1365"/>
    </row>
    <row r="986" spans="1:9" s="1364" customFormat="1">
      <c r="A986" s="1345"/>
      <c r="B986" s="1350"/>
      <c r="C986" s="1352"/>
      <c r="D986" s="1343"/>
      <c r="E986" s="1343"/>
      <c r="F986" s="62"/>
      <c r="G986" s="1351"/>
      <c r="I986" s="1365"/>
    </row>
    <row r="987" spans="1:9" s="1364" customFormat="1" ht="51">
      <c r="A987" s="1345"/>
      <c r="B987" s="1350" t="s">
        <v>3482</v>
      </c>
      <c r="C987" s="1357" t="s">
        <v>3483</v>
      </c>
      <c r="D987" s="1343"/>
      <c r="E987" s="1343"/>
      <c r="F987" s="62"/>
      <c r="G987" s="1351"/>
      <c r="I987" s="1365"/>
    </row>
    <row r="988" spans="1:9" s="1364" customFormat="1">
      <c r="A988" s="1345"/>
      <c r="B988" s="1350"/>
      <c r="C988" s="1352"/>
      <c r="D988" s="1343" t="s">
        <v>34</v>
      </c>
      <c r="E988" s="1356">
        <v>2</v>
      </c>
      <c r="F988" s="62"/>
      <c r="G988" s="1413">
        <f>E988*F988</f>
        <v>0</v>
      </c>
      <c r="I988" s="1365"/>
    </row>
    <row r="989" spans="1:9" s="1364" customFormat="1">
      <c r="A989" s="1345"/>
      <c r="B989" s="1350"/>
      <c r="C989" s="1352"/>
      <c r="D989" s="1343"/>
      <c r="E989" s="1343"/>
      <c r="F989" s="62"/>
      <c r="G989" s="1351"/>
      <c r="I989" s="1365"/>
    </row>
    <row r="990" spans="1:9" s="1364" customFormat="1" ht="25.5">
      <c r="A990" s="1345"/>
      <c r="B990" s="1350" t="s">
        <v>3484</v>
      </c>
      <c r="C990" s="1393" t="s">
        <v>3485</v>
      </c>
      <c r="D990" s="1343"/>
      <c r="E990" s="1343"/>
      <c r="F990" s="62"/>
      <c r="G990" s="1351"/>
      <c r="I990" s="1365"/>
    </row>
    <row r="991" spans="1:9" s="1364" customFormat="1">
      <c r="A991" s="1345"/>
      <c r="B991" s="1350"/>
      <c r="C991" s="1352"/>
      <c r="D991" s="1343" t="s">
        <v>1184</v>
      </c>
      <c r="E991" s="1356">
        <v>50</v>
      </c>
      <c r="F991" s="62"/>
      <c r="G991" s="1413">
        <f>+F991*E991</f>
        <v>0</v>
      </c>
      <c r="I991" s="1365"/>
    </row>
    <row r="992" spans="1:9" s="1364" customFormat="1">
      <c r="A992" s="1345"/>
      <c r="B992" s="1350"/>
      <c r="C992" s="1352"/>
      <c r="D992" s="1343"/>
      <c r="E992" s="1343"/>
      <c r="F992" s="62"/>
      <c r="G992" s="1351"/>
      <c r="I992" s="1365"/>
    </row>
    <row r="993" spans="1:9" s="1364" customFormat="1" ht="25.5">
      <c r="A993" s="1345"/>
      <c r="B993" s="1350" t="s">
        <v>3486</v>
      </c>
      <c r="C993" s="1357" t="s">
        <v>3487</v>
      </c>
      <c r="D993" s="1343"/>
      <c r="E993" s="1343"/>
      <c r="F993" s="62"/>
      <c r="G993" s="1351"/>
      <c r="I993" s="1365"/>
    </row>
    <row r="994" spans="1:9" s="1364" customFormat="1">
      <c r="A994" s="1345"/>
      <c r="B994" s="1350"/>
      <c r="C994" s="1352"/>
      <c r="D994" s="1343" t="s">
        <v>1184</v>
      </c>
      <c r="E994" s="1356">
        <v>200</v>
      </c>
      <c r="F994" s="62"/>
      <c r="G994" s="1414">
        <f>F994*E994</f>
        <v>0</v>
      </c>
      <c r="I994" s="1365"/>
    </row>
    <row r="995" spans="1:9" s="1364" customFormat="1">
      <c r="A995" s="1345"/>
      <c r="B995" s="1350"/>
      <c r="C995" s="1360"/>
      <c r="D995" s="1411"/>
      <c r="E995" s="1415"/>
      <c r="F995" s="1446"/>
      <c r="G995" s="1416"/>
      <c r="I995" s="1365"/>
    </row>
    <row r="996" spans="1:9" s="1364" customFormat="1">
      <c r="A996" s="1345"/>
      <c r="B996" s="1350"/>
      <c r="C996" s="1352" t="s">
        <v>3488</v>
      </c>
      <c r="D996" s="1343"/>
      <c r="E996" s="1343"/>
      <c r="F996" s="62"/>
      <c r="G996" s="1351">
        <f>SUM(G985:G995)</f>
        <v>0</v>
      </c>
      <c r="I996" s="1365"/>
    </row>
    <row r="997" spans="1:9" s="1364" customFormat="1">
      <c r="A997" s="1345"/>
      <c r="B997" s="1350"/>
      <c r="C997" s="1352"/>
      <c r="D997" s="1343"/>
      <c r="E997" s="1343"/>
      <c r="F997" s="62"/>
      <c r="G997" s="1351"/>
      <c r="I997" s="1365"/>
    </row>
    <row r="998" spans="1:9" s="1364" customFormat="1">
      <c r="A998" s="1345"/>
      <c r="B998" s="1350"/>
      <c r="C998" s="1352"/>
      <c r="D998" s="1343"/>
      <c r="E998" s="1343"/>
      <c r="F998" s="62"/>
      <c r="G998" s="1351"/>
      <c r="I998" s="1365"/>
    </row>
    <row r="999" spans="1:9" s="1364" customFormat="1">
      <c r="A999" s="1345"/>
      <c r="B999" s="1350" t="s">
        <v>3489</v>
      </c>
      <c r="C999" s="1417" t="s">
        <v>3490</v>
      </c>
      <c r="D999" s="1418"/>
      <c r="E999" s="1418"/>
      <c r="F999" s="1447"/>
      <c r="G999" s="1419"/>
      <c r="I999" s="1365"/>
    </row>
    <row r="1000" spans="1:9" s="1364" customFormat="1">
      <c r="A1000" s="1345"/>
      <c r="B1000" s="1350"/>
      <c r="C1000" s="1352"/>
      <c r="D1000" s="1343"/>
      <c r="E1000" s="1343"/>
      <c r="F1000" s="62"/>
      <c r="G1000" s="1351"/>
      <c r="I1000" s="1365"/>
    </row>
    <row r="1001" spans="1:9" s="1364" customFormat="1">
      <c r="A1001" s="1345"/>
      <c r="B1001" s="1350" t="s">
        <v>3491</v>
      </c>
      <c r="C1001" s="1393" t="s">
        <v>3492</v>
      </c>
      <c r="D1001" s="1343"/>
      <c r="E1001" s="1343"/>
      <c r="F1001" s="62"/>
      <c r="G1001" s="1351"/>
      <c r="I1001" s="1365"/>
    </row>
    <row r="1002" spans="1:9" s="1364" customFormat="1">
      <c r="A1002" s="1345"/>
      <c r="B1002" s="1350"/>
      <c r="C1002" s="1352"/>
      <c r="D1002" s="1343" t="s">
        <v>1184</v>
      </c>
      <c r="E1002" s="1356">
        <v>200</v>
      </c>
      <c r="F1002" s="62"/>
      <c r="G1002" s="1413">
        <f>E1002*F1002</f>
        <v>0</v>
      </c>
      <c r="I1002" s="1365"/>
    </row>
    <row r="1003" spans="1:9" s="1364" customFormat="1">
      <c r="A1003" s="1345"/>
      <c r="B1003" s="1350"/>
      <c r="C1003" s="1352"/>
      <c r="D1003" s="1343"/>
      <c r="E1003" s="1343"/>
      <c r="F1003" s="62"/>
      <c r="G1003" s="1351"/>
      <c r="I1003" s="1365"/>
    </row>
    <row r="1004" spans="1:9" s="1364" customFormat="1" ht="25.5">
      <c r="A1004" s="1345"/>
      <c r="B1004" s="1350" t="s">
        <v>3493</v>
      </c>
      <c r="C1004" s="1393" t="s">
        <v>3494</v>
      </c>
      <c r="D1004" s="1343"/>
      <c r="E1004" s="1343"/>
      <c r="F1004" s="62"/>
      <c r="G1004" s="1351"/>
      <c r="I1004" s="1365"/>
    </row>
    <row r="1005" spans="1:9" s="1364" customFormat="1">
      <c r="A1005" s="1345"/>
      <c r="B1005" s="1350"/>
      <c r="C1005" s="1352"/>
      <c r="D1005" s="1343" t="s">
        <v>1184</v>
      </c>
      <c r="E1005" s="1356">
        <v>300</v>
      </c>
      <c r="F1005" s="62"/>
      <c r="G1005" s="1413">
        <f>+F1005*E1005</f>
        <v>0</v>
      </c>
      <c r="I1005" s="1365"/>
    </row>
    <row r="1006" spans="1:9" s="1364" customFormat="1">
      <c r="A1006" s="1345"/>
      <c r="B1006" s="1350"/>
      <c r="C1006" s="1352"/>
      <c r="D1006" s="1343"/>
      <c r="E1006" s="1343"/>
      <c r="F1006" s="62"/>
      <c r="G1006" s="1351"/>
      <c r="I1006" s="1365"/>
    </row>
    <row r="1007" spans="1:9" s="1364" customFormat="1" ht="25.5">
      <c r="A1007" s="1345"/>
      <c r="B1007" s="1350" t="s">
        <v>3495</v>
      </c>
      <c r="C1007" s="1357" t="s">
        <v>3496</v>
      </c>
      <c r="D1007" s="1343"/>
      <c r="E1007" s="1343"/>
      <c r="F1007" s="62"/>
      <c r="G1007" s="1351"/>
      <c r="I1007" s="1365"/>
    </row>
    <row r="1008" spans="1:9" s="1364" customFormat="1">
      <c r="A1008" s="1345"/>
      <c r="B1008" s="1350"/>
      <c r="C1008" s="1352"/>
      <c r="D1008" s="1343" t="s">
        <v>34</v>
      </c>
      <c r="E1008" s="1356">
        <v>2</v>
      </c>
      <c r="F1008" s="62"/>
      <c r="G1008" s="1414">
        <f>F1008*E1008</f>
        <v>0</v>
      </c>
      <c r="I1008" s="1365"/>
    </row>
    <row r="1009" spans="1:9" s="1364" customFormat="1">
      <c r="A1009" s="1345"/>
      <c r="B1009" s="1350"/>
      <c r="C1009" s="1352"/>
      <c r="D1009" s="1343"/>
      <c r="E1009" s="1343"/>
      <c r="F1009" s="62"/>
      <c r="G1009" s="1351"/>
      <c r="I1009" s="1365"/>
    </row>
    <row r="1010" spans="1:9" s="1364" customFormat="1">
      <c r="A1010" s="1345"/>
      <c r="B1010" s="1350" t="s">
        <v>3497</v>
      </c>
      <c r="C1010" s="1357" t="s">
        <v>3498</v>
      </c>
      <c r="D1010" s="1343"/>
      <c r="E1010" s="1343"/>
      <c r="F1010" s="62"/>
      <c r="G1010" s="1351"/>
      <c r="I1010" s="1365"/>
    </row>
    <row r="1011" spans="1:9" s="1364" customFormat="1">
      <c r="A1011" s="1345"/>
      <c r="B1011" s="1350"/>
      <c r="C1011" s="1352"/>
      <c r="D1011" s="1343" t="s">
        <v>34</v>
      </c>
      <c r="E1011" s="1356">
        <v>50</v>
      </c>
      <c r="F1011" s="62"/>
      <c r="G1011" s="1414">
        <f>F1011*E1011</f>
        <v>0</v>
      </c>
      <c r="I1011" s="1365"/>
    </row>
    <row r="1012" spans="1:9" s="1364" customFormat="1">
      <c r="A1012" s="1345"/>
      <c r="B1012" s="1350"/>
      <c r="C1012" s="1352"/>
      <c r="D1012" s="1343"/>
      <c r="E1012" s="1356"/>
      <c r="F1012" s="62"/>
      <c r="G1012" s="1414"/>
      <c r="I1012" s="1365"/>
    </row>
    <row r="1013" spans="1:9" s="1364" customFormat="1">
      <c r="A1013" s="1345"/>
      <c r="B1013" s="1350" t="s">
        <v>3499</v>
      </c>
      <c r="C1013" s="1357" t="s">
        <v>3500</v>
      </c>
      <c r="D1013" s="1343"/>
      <c r="E1013" s="1343"/>
      <c r="F1013" s="62"/>
      <c r="G1013" s="1351"/>
      <c r="I1013" s="1365"/>
    </row>
    <row r="1014" spans="1:9" s="1364" customFormat="1">
      <c r="A1014" s="1345"/>
      <c r="B1014" s="1350"/>
      <c r="C1014" s="1352"/>
      <c r="D1014" s="1343" t="s">
        <v>34</v>
      </c>
      <c r="E1014" s="1356">
        <v>2</v>
      </c>
      <c r="F1014" s="62"/>
      <c r="G1014" s="1414">
        <f>F1014*E1014</f>
        <v>0</v>
      </c>
      <c r="I1014" s="1365"/>
    </row>
    <row r="1015" spans="1:9" s="1364" customFormat="1">
      <c r="A1015" s="1345"/>
      <c r="B1015" s="1350"/>
      <c r="C1015" s="1360"/>
      <c r="D1015" s="1411"/>
      <c r="E1015" s="1415"/>
      <c r="F1015" s="1446"/>
      <c r="G1015" s="1416"/>
      <c r="I1015" s="1365"/>
    </row>
    <row r="1016" spans="1:9" s="1364" customFormat="1">
      <c r="A1016" s="1345"/>
      <c r="B1016" s="1350"/>
      <c r="C1016" s="1352" t="s">
        <v>3501</v>
      </c>
      <c r="D1016" s="1343"/>
      <c r="E1016" s="1343"/>
      <c r="F1016" s="62"/>
      <c r="G1016" s="1351">
        <f>SUM(G999:G1015)</f>
        <v>0</v>
      </c>
      <c r="I1016" s="1365"/>
    </row>
    <row r="1017" spans="1:9" s="1364" customFormat="1">
      <c r="A1017" s="1345"/>
      <c r="B1017" s="1350"/>
      <c r="C1017" s="1352"/>
      <c r="D1017" s="1343"/>
      <c r="E1017" s="1343"/>
      <c r="F1017" s="62"/>
      <c r="G1017" s="1351"/>
      <c r="I1017" s="1365"/>
    </row>
    <row r="1018" spans="1:9" s="1364" customFormat="1">
      <c r="A1018" s="1345"/>
      <c r="B1018" s="1350"/>
      <c r="C1018" s="1352"/>
      <c r="D1018" s="1343"/>
      <c r="E1018" s="1343"/>
      <c r="F1018" s="62"/>
      <c r="G1018" s="1351"/>
      <c r="I1018" s="1365"/>
    </row>
    <row r="1019" spans="1:9" s="1364" customFormat="1">
      <c r="A1019" s="1345"/>
      <c r="B1019" s="1350" t="s">
        <v>3502</v>
      </c>
      <c r="C1019" s="1417" t="s">
        <v>3503</v>
      </c>
      <c r="D1019" s="1418"/>
      <c r="E1019" s="1418"/>
      <c r="F1019" s="1447"/>
      <c r="G1019" s="1419"/>
      <c r="I1019" s="1365"/>
    </row>
    <row r="1020" spans="1:9" s="1364" customFormat="1">
      <c r="A1020" s="1345"/>
      <c r="B1020" s="1350"/>
      <c r="C1020" s="1352"/>
      <c r="D1020" s="1343"/>
      <c r="E1020" s="1343"/>
      <c r="F1020" s="62"/>
      <c r="G1020" s="1351"/>
      <c r="I1020" s="1365"/>
    </row>
    <row r="1021" spans="1:9" s="1364" customFormat="1">
      <c r="A1021" s="1345"/>
      <c r="B1021" s="1350" t="s">
        <v>3504</v>
      </c>
      <c r="C1021" s="1393" t="s">
        <v>3505</v>
      </c>
      <c r="D1021" s="1343"/>
      <c r="E1021" s="1343"/>
      <c r="F1021" s="62"/>
      <c r="G1021" s="1351"/>
      <c r="I1021" s="1365"/>
    </row>
    <row r="1022" spans="1:9" s="1364" customFormat="1">
      <c r="A1022" s="1345"/>
      <c r="B1022" s="1350"/>
      <c r="C1022" s="1352"/>
      <c r="D1022" s="1356" t="s">
        <v>1184</v>
      </c>
      <c r="E1022" s="1356">
        <v>200</v>
      </c>
      <c r="F1022" s="62"/>
      <c r="G1022" s="1414">
        <f>F1022*E1022</f>
        <v>0</v>
      </c>
      <c r="I1022" s="1365"/>
    </row>
    <row r="1023" spans="1:9" s="1364" customFormat="1">
      <c r="A1023" s="1345"/>
      <c r="B1023" s="1350"/>
      <c r="C1023" s="1360"/>
      <c r="D1023" s="1411"/>
      <c r="E1023" s="1411"/>
      <c r="F1023" s="1446"/>
      <c r="G1023" s="1412"/>
      <c r="I1023" s="1365"/>
    </row>
    <row r="1024" spans="1:9" s="1364" customFormat="1">
      <c r="A1024" s="1345"/>
      <c r="B1024" s="1350"/>
      <c r="C1024" s="1352" t="s">
        <v>3506</v>
      </c>
      <c r="D1024" s="1343"/>
      <c r="E1024" s="1343"/>
      <c r="F1024" s="62"/>
      <c r="G1024" s="1351">
        <f>SUM(G1019:G1023)</f>
        <v>0</v>
      </c>
      <c r="I1024" s="1365"/>
    </row>
    <row r="1025" spans="1:9" s="1364" customFormat="1">
      <c r="A1025" s="1345"/>
      <c r="B1025" s="1350"/>
      <c r="C1025" s="1352"/>
      <c r="D1025" s="1343"/>
      <c r="E1025" s="1343"/>
      <c r="F1025" s="62"/>
      <c r="G1025" s="1351"/>
      <c r="I1025" s="1365"/>
    </row>
    <row r="1026" spans="1:9" s="1364" customFormat="1">
      <c r="B1026" s="1346" t="s">
        <v>3421</v>
      </c>
      <c r="C1026" s="1362" t="s">
        <v>3507</v>
      </c>
      <c r="D1026" s="1363"/>
      <c r="E1026" s="1363"/>
      <c r="F1026" s="1363"/>
      <c r="G1026" s="1349">
        <f>G925+G948+G971+G982+G996+G1016+G1024</f>
        <v>0</v>
      </c>
      <c r="I1026" s="1365"/>
    </row>
    <row r="1027" spans="1:9" s="1364" customFormat="1">
      <c r="A1027" s="1345"/>
      <c r="B1027" s="1350"/>
      <c r="C1027" s="1352"/>
      <c r="D1027" s="1343"/>
      <c r="E1027" s="1343"/>
      <c r="F1027" s="1343"/>
      <c r="G1027" s="1351"/>
      <c r="I1027" s="1365"/>
    </row>
    <row r="1029" spans="1:9" ht="13.5" thickBot="1">
      <c r="B1029" s="1354"/>
      <c r="C1029" s="1364"/>
      <c r="G1029" s="1344"/>
    </row>
    <row r="1030" spans="1:9" ht="16.5" thickBot="1">
      <c r="B1030" s="1751" t="s">
        <v>199</v>
      </c>
      <c r="C1030" s="1752"/>
      <c r="D1030" s="1752"/>
      <c r="E1030" s="1752"/>
      <c r="F1030" s="1752"/>
      <c r="G1030" s="1753"/>
    </row>
    <row r="1031" spans="1:9" ht="16.5" thickTop="1">
      <c r="B1031" s="1420">
        <v>1</v>
      </c>
      <c r="C1031" s="1748" t="str">
        <f>C125</f>
        <v>UKUPNO - PRIPREMNI RADOVI I RUŠENJA (€):</v>
      </c>
      <c r="D1031" s="1748"/>
      <c r="E1031" s="1754">
        <f>G125</f>
        <v>0</v>
      </c>
      <c r="F1031" s="1754"/>
      <c r="G1031" s="1755"/>
    </row>
    <row r="1032" spans="1:9" ht="15.75">
      <c r="B1032" s="1420">
        <v>2</v>
      </c>
      <c r="C1032" s="1748" t="str">
        <f>C208</f>
        <v>UKUPNO - ZEMLJANI RADOVI (€):</v>
      </c>
      <c r="D1032" s="1748"/>
      <c r="E1032" s="1749">
        <f>G208</f>
        <v>0</v>
      </c>
      <c r="F1032" s="1749"/>
      <c r="G1032" s="1750"/>
    </row>
    <row r="1033" spans="1:9" ht="15.75">
      <c r="B1033" s="1421">
        <v>3</v>
      </c>
      <c r="C1033" s="1748" t="str">
        <f>C372</f>
        <v>UKUPNO - BETONSKI I ARMIRANO BETONSKI RADOVI (€):</v>
      </c>
      <c r="D1033" s="1748"/>
      <c r="E1033" s="1749">
        <f>G372</f>
        <v>0</v>
      </c>
      <c r="F1033" s="1749"/>
      <c r="G1033" s="1750"/>
    </row>
    <row r="1034" spans="1:9" ht="15.75">
      <c r="B1034" s="1421">
        <v>4</v>
      </c>
      <c r="C1034" s="1748" t="str">
        <f>C454</f>
        <v>UKUPNO - OPLOČENJE (€):</v>
      </c>
      <c r="D1034" s="1748"/>
      <c r="E1034" s="1749">
        <f>G454</f>
        <v>0</v>
      </c>
      <c r="F1034" s="1749"/>
      <c r="G1034" s="1750"/>
    </row>
    <row r="1035" spans="1:9" ht="15.75">
      <c r="B1035" s="1421">
        <v>5</v>
      </c>
      <c r="C1035" s="1748" t="str">
        <f>C642</f>
        <v>UKUPNO - ZIDARSKI RADOVI (€):</v>
      </c>
      <c r="D1035" s="1748"/>
      <c r="E1035" s="1749">
        <f>G642</f>
        <v>0</v>
      </c>
      <c r="F1035" s="1749"/>
      <c r="G1035" s="1750"/>
    </row>
    <row r="1036" spans="1:9" ht="15.75">
      <c r="B1036" s="1421">
        <v>6</v>
      </c>
      <c r="C1036" s="1748" t="str">
        <f>C674</f>
        <v>UKUPNO - PARKOVNA I KOMUNALNA OPREMA (€):</v>
      </c>
      <c r="D1036" s="1748"/>
      <c r="E1036" s="1749">
        <f>G674</f>
        <v>0</v>
      </c>
      <c r="F1036" s="1749"/>
      <c r="G1036" s="1750"/>
    </row>
    <row r="1037" spans="1:9" ht="15.75">
      <c r="B1037" s="1421">
        <v>7</v>
      </c>
      <c r="C1037" s="1748" t="str">
        <f>C715</f>
        <v>UKUPNO - SADNJA / ZEMLJA (€):</v>
      </c>
      <c r="D1037" s="1748"/>
      <c r="E1037" s="1749">
        <f>G715</f>
        <v>0</v>
      </c>
      <c r="F1037" s="1749"/>
      <c r="G1037" s="1750"/>
    </row>
    <row r="1038" spans="1:9" ht="15.75">
      <c r="B1038" s="1421">
        <v>8</v>
      </c>
      <c r="C1038" s="1748" t="str">
        <f>C749</f>
        <v>UKUPNO - SADNJA DRVEĆA (€):</v>
      </c>
      <c r="D1038" s="1748"/>
      <c r="E1038" s="1749">
        <f>G749</f>
        <v>0</v>
      </c>
      <c r="F1038" s="1749"/>
      <c r="G1038" s="1750"/>
    </row>
    <row r="1039" spans="1:9" ht="15.75">
      <c r="B1039" s="1421">
        <v>9</v>
      </c>
      <c r="C1039" s="1748" t="str">
        <f>C773</f>
        <v>UKUPNO - SADNJA ŽIVICE (€):</v>
      </c>
      <c r="D1039" s="1748"/>
      <c r="E1039" s="1749">
        <f>G773</f>
        <v>0</v>
      </c>
      <c r="F1039" s="1749"/>
      <c r="G1039" s="1750"/>
    </row>
    <row r="1040" spans="1:9" ht="15.75">
      <c r="B1040" s="1421">
        <v>10</v>
      </c>
      <c r="C1040" s="1748" t="str">
        <f>C860</f>
        <v>UKUPNO - SADNJA GRMLJA I TRAJNICA (€):</v>
      </c>
      <c r="D1040" s="1748"/>
      <c r="E1040" s="1749">
        <f>G860</f>
        <v>0</v>
      </c>
      <c r="F1040" s="1749"/>
      <c r="G1040" s="1750"/>
    </row>
    <row r="1041" spans="2:7" ht="15.75">
      <c r="B1041" s="1421">
        <v>11</v>
      </c>
      <c r="C1041" s="1739" t="s">
        <v>3508</v>
      </c>
      <c r="D1041" s="1739"/>
      <c r="E1041" s="1749">
        <f>G876</f>
        <v>0</v>
      </c>
      <c r="F1041" s="1749"/>
      <c r="G1041" s="1750"/>
    </row>
    <row r="1042" spans="2:7" ht="15.75">
      <c r="B1042" s="1421">
        <v>12</v>
      </c>
      <c r="C1042" s="1739" t="str">
        <f>C895</f>
        <v>UKUPNO - FITOSANITETSKA ZAŠTITA (€):</v>
      </c>
      <c r="D1042" s="1739"/>
      <c r="E1042" s="1749">
        <f>G895</f>
        <v>0</v>
      </c>
      <c r="F1042" s="1749"/>
      <c r="G1042" s="1750"/>
    </row>
    <row r="1043" spans="2:7" ht="15.75">
      <c r="B1043" s="1421">
        <v>13</v>
      </c>
      <c r="C1043" s="1739" t="str">
        <f>C1026</f>
        <v>UKUPNO - NAVODNJAVANJE  (€):</v>
      </c>
      <c r="D1043" s="1739"/>
      <c r="E1043" s="1740">
        <f>G1026</f>
        <v>0</v>
      </c>
      <c r="F1043" s="1740"/>
      <c r="G1043" s="1741"/>
    </row>
    <row r="1044" spans="2:7" ht="16.5" thickBot="1">
      <c r="B1044" s="1422"/>
      <c r="C1044" s="1742"/>
      <c r="D1044" s="1742"/>
      <c r="E1044" s="1743"/>
      <c r="F1044" s="1743"/>
      <c r="G1044" s="1744"/>
    </row>
    <row r="1045" spans="2:7" ht="17.25" thickTop="1" thickBot="1">
      <c r="B1045" s="1423"/>
      <c r="C1045" s="1745" t="s">
        <v>3509</v>
      </c>
      <c r="D1045" s="1745"/>
      <c r="E1045" s="1746">
        <f>SUM(E1031:G1044)</f>
        <v>0</v>
      </c>
      <c r="F1045" s="1746"/>
      <c r="G1045" s="1747"/>
    </row>
    <row r="1046" spans="2:7">
      <c r="C1046" s="1345"/>
    </row>
    <row r="1047" spans="2:7">
      <c r="B1047" s="1354"/>
      <c r="C1047" s="1345"/>
    </row>
    <row r="1048" spans="2:7">
      <c r="C1048" s="1345"/>
      <c r="G1048" s="1424"/>
    </row>
    <row r="1049" spans="2:7">
      <c r="C1049" s="1345"/>
    </row>
    <row r="1050" spans="2:7">
      <c r="C1050" s="1345"/>
    </row>
    <row r="1051" spans="2:7">
      <c r="C1051" s="1345"/>
      <c r="G1051" s="1425"/>
    </row>
    <row r="1052" spans="2:7">
      <c r="C1052" s="1345"/>
      <c r="G1052" s="1425"/>
    </row>
    <row r="1053" spans="2:7">
      <c r="C1053" s="1345"/>
    </row>
    <row r="1054" spans="2:7">
      <c r="C1054" s="1345"/>
    </row>
    <row r="1055" spans="2:7">
      <c r="C1055" s="1345"/>
    </row>
    <row r="1056" spans="2:7">
      <c r="C1056" s="1345"/>
    </row>
    <row r="1057" spans="2:9">
      <c r="C1057" s="1345"/>
    </row>
    <row r="1058" spans="2:9">
      <c r="C1058" s="1345"/>
      <c r="G1058" s="1426"/>
    </row>
    <row r="1059" spans="2:9">
      <c r="C1059" s="1345"/>
    </row>
    <row r="1060" spans="2:9">
      <c r="C1060" s="1345"/>
    </row>
    <row r="1061" spans="2:9">
      <c r="C1061" s="1345"/>
      <c r="G1061" s="1425"/>
    </row>
    <row r="1062" spans="2:9">
      <c r="C1062" s="1345"/>
      <c r="G1062" s="1424"/>
    </row>
    <row r="1063" spans="2:9">
      <c r="C1063" s="1345"/>
      <c r="G1063" s="1424"/>
    </row>
    <row r="1064" spans="2:9">
      <c r="C1064" s="1345"/>
      <c r="G1064" s="1424"/>
    </row>
    <row r="1065" spans="2:9">
      <c r="C1065" s="1345"/>
      <c r="G1065" s="1424"/>
    </row>
    <row r="1066" spans="2:9">
      <c r="C1066" s="1345"/>
    </row>
    <row r="1067" spans="2:9">
      <c r="C1067" s="1345"/>
    </row>
    <row r="1068" spans="2:9">
      <c r="C1068" s="1345"/>
    </row>
    <row r="1069" spans="2:9" s="1352" customFormat="1">
      <c r="B1069" s="1350"/>
      <c r="C1069" s="1345"/>
      <c r="D1069" s="1343"/>
      <c r="E1069" s="1343"/>
      <c r="F1069" s="1343"/>
      <c r="G1069" s="1369"/>
      <c r="I1069" s="1403"/>
    </row>
    <row r="1070" spans="2:9" s="1352" customFormat="1">
      <c r="B1070" s="1350"/>
      <c r="C1070" s="1345"/>
      <c r="D1070" s="1343"/>
      <c r="E1070" s="1343"/>
      <c r="F1070" s="1343"/>
      <c r="G1070" s="1425"/>
      <c r="I1070" s="1403"/>
    </row>
    <row r="1071" spans="2:9">
      <c r="C1071" s="1345"/>
      <c r="G1071" s="1424"/>
    </row>
    <row r="1072" spans="2:9">
      <c r="C1072" s="1345"/>
      <c r="G1072" s="1424"/>
    </row>
    <row r="1073" spans="2:9">
      <c r="C1073" s="1345"/>
      <c r="G1073" s="1424"/>
    </row>
    <row r="1074" spans="2:9">
      <c r="C1074" s="1345"/>
      <c r="G1074" s="1424"/>
    </row>
    <row r="1075" spans="2:9">
      <c r="B1075" s="1354"/>
      <c r="C1075" s="1345"/>
      <c r="I1075" s="1345"/>
    </row>
    <row r="1076" spans="2:9">
      <c r="B1076" s="1354"/>
      <c r="C1076" s="1345"/>
      <c r="I1076" s="1345"/>
    </row>
    <row r="1077" spans="2:9">
      <c r="B1077" s="1354"/>
      <c r="C1077" s="1345"/>
      <c r="I1077" s="1345"/>
    </row>
    <row r="1078" spans="2:9">
      <c r="B1078" s="1354"/>
      <c r="C1078" s="1345"/>
      <c r="I1078" s="1345"/>
    </row>
    <row r="1079" spans="2:9">
      <c r="B1079" s="1354"/>
      <c r="C1079" s="1345"/>
      <c r="G1079" s="1424"/>
      <c r="I1079" s="1345"/>
    </row>
    <row r="1080" spans="2:9">
      <c r="B1080" s="1354"/>
      <c r="C1080" s="1345"/>
      <c r="G1080" s="1424"/>
      <c r="I1080" s="1345"/>
    </row>
    <row r="1081" spans="2:9">
      <c r="B1081" s="1354"/>
      <c r="C1081" s="1345"/>
      <c r="G1081" s="1424"/>
      <c r="I1081" s="1345"/>
    </row>
    <row r="1082" spans="2:9">
      <c r="B1082" s="1354"/>
      <c r="C1082" s="1345"/>
      <c r="I1082" s="1345"/>
    </row>
    <row r="1083" spans="2:9">
      <c r="B1083" s="1354"/>
      <c r="C1083" s="1345"/>
      <c r="I1083" s="1345"/>
    </row>
    <row r="1084" spans="2:9">
      <c r="B1084" s="1354"/>
      <c r="C1084" s="1345"/>
      <c r="I1084" s="1345"/>
    </row>
    <row r="1085" spans="2:9">
      <c r="B1085" s="1354"/>
      <c r="C1085" s="1345"/>
      <c r="I1085" s="1345"/>
    </row>
    <row r="1086" spans="2:9">
      <c r="B1086" s="1354"/>
      <c r="C1086" s="1345"/>
      <c r="I1086" s="1345"/>
    </row>
    <row r="1087" spans="2:9">
      <c r="B1087" s="1354"/>
      <c r="C1087" s="1345"/>
      <c r="I1087" s="1345"/>
    </row>
    <row r="1088" spans="2:9">
      <c r="B1088" s="1354"/>
      <c r="C1088" s="1345"/>
      <c r="I1088" s="1345"/>
    </row>
    <row r="1089" spans="2:9">
      <c r="B1089" s="1354"/>
      <c r="C1089" s="1345"/>
      <c r="G1089" s="1425"/>
      <c r="I1089" s="1345"/>
    </row>
    <row r="1090" spans="2:9">
      <c r="B1090" s="1354"/>
      <c r="C1090" s="1345"/>
      <c r="G1090" s="1424"/>
      <c r="I1090" s="1345"/>
    </row>
    <row r="1091" spans="2:9">
      <c r="B1091" s="1354"/>
      <c r="C1091" s="1345"/>
      <c r="G1091" s="1424"/>
      <c r="I1091" s="1345"/>
    </row>
    <row r="1092" spans="2:9">
      <c r="B1092" s="1354"/>
      <c r="C1092" s="1345"/>
      <c r="I1092" s="1345"/>
    </row>
    <row r="1093" spans="2:9">
      <c r="B1093" s="1354"/>
      <c r="C1093" s="1345"/>
      <c r="I1093" s="1345"/>
    </row>
    <row r="1094" spans="2:9">
      <c r="B1094" s="1354"/>
      <c r="C1094" s="1345"/>
      <c r="G1094" s="1425"/>
      <c r="I1094" s="1345"/>
    </row>
    <row r="1095" spans="2:9">
      <c r="B1095" s="1354"/>
      <c r="C1095" s="1345"/>
      <c r="G1095" s="1424"/>
      <c r="I1095" s="1345"/>
    </row>
    <row r="1096" spans="2:9">
      <c r="B1096" s="1354"/>
      <c r="C1096" s="1345"/>
      <c r="I1096" s="1345"/>
    </row>
    <row r="1097" spans="2:9">
      <c r="B1097" s="1354"/>
      <c r="C1097" s="1345"/>
      <c r="I1097" s="1345"/>
    </row>
    <row r="1098" spans="2:9">
      <c r="B1098" s="1354"/>
      <c r="C1098" s="1345"/>
      <c r="I1098" s="1345"/>
    </row>
    <row r="1099" spans="2:9">
      <c r="B1099" s="1354"/>
      <c r="C1099" s="1345"/>
      <c r="I1099" s="1345"/>
    </row>
    <row r="1100" spans="2:9">
      <c r="B1100" s="1354"/>
      <c r="C1100" s="1345"/>
      <c r="I1100" s="1345"/>
    </row>
    <row r="1101" spans="2:9">
      <c r="B1101" s="1354"/>
      <c r="C1101" s="1345"/>
      <c r="G1101" s="1425"/>
      <c r="I1101" s="1345"/>
    </row>
    <row r="1102" spans="2:9">
      <c r="B1102" s="1354"/>
      <c r="C1102" s="1345"/>
      <c r="G1102" s="1424"/>
      <c r="I1102" s="1345"/>
    </row>
    <row r="1103" spans="2:9">
      <c r="B1103" s="1354"/>
      <c r="C1103" s="1345"/>
      <c r="I1103" s="1345"/>
    </row>
    <row r="1104" spans="2:9">
      <c r="B1104" s="1354"/>
      <c r="C1104" s="1345"/>
      <c r="I1104" s="1345"/>
    </row>
    <row r="1105" spans="2:9">
      <c r="B1105" s="1354"/>
      <c r="C1105" s="1345"/>
      <c r="G1105" s="1425"/>
      <c r="I1105" s="1345"/>
    </row>
    <row r="1106" spans="2:9">
      <c r="B1106" s="1354"/>
      <c r="C1106" s="1345"/>
      <c r="G1106" s="1424"/>
      <c r="I1106" s="1345"/>
    </row>
    <row r="1107" spans="2:9">
      <c r="B1107" s="1354"/>
      <c r="C1107" s="1345"/>
      <c r="I1107" s="1345"/>
    </row>
    <row r="1108" spans="2:9">
      <c r="B1108" s="1354"/>
      <c r="C1108" s="1345"/>
      <c r="I1108" s="1345"/>
    </row>
    <row r="1109" spans="2:9">
      <c r="B1109" s="1354"/>
      <c r="C1109" s="1345"/>
      <c r="I1109" s="1345"/>
    </row>
    <row r="1110" spans="2:9">
      <c r="B1110" s="1354"/>
      <c r="C1110" s="1345"/>
      <c r="I1110" s="1345"/>
    </row>
    <row r="1111" spans="2:9">
      <c r="B1111" s="1354"/>
      <c r="C1111" s="1345"/>
      <c r="I1111" s="1345"/>
    </row>
    <row r="1112" spans="2:9">
      <c r="B1112" s="1354"/>
      <c r="C1112" s="1345"/>
      <c r="I1112" s="1345"/>
    </row>
    <row r="1113" spans="2:9">
      <c r="B1113" s="1354"/>
      <c r="C1113" s="1345"/>
      <c r="I1113" s="1345"/>
    </row>
    <row r="1114" spans="2:9">
      <c r="B1114" s="1354"/>
      <c r="C1114" s="1345"/>
      <c r="I1114" s="1345"/>
    </row>
    <row r="1115" spans="2:9">
      <c r="B1115" s="1354"/>
      <c r="C1115" s="1345"/>
      <c r="I1115" s="1345"/>
    </row>
    <row r="1116" spans="2:9">
      <c r="B1116" s="1354"/>
      <c r="C1116" s="1345"/>
      <c r="I1116" s="1345"/>
    </row>
    <row r="1117" spans="2:9">
      <c r="B1117" s="1354"/>
      <c r="C1117" s="1345"/>
      <c r="I1117" s="1345"/>
    </row>
    <row r="1118" spans="2:9">
      <c r="B1118" s="1354"/>
      <c r="C1118" s="1345"/>
      <c r="I1118" s="1345"/>
    </row>
    <row r="1119" spans="2:9">
      <c r="B1119" s="1354"/>
      <c r="C1119" s="1345"/>
      <c r="I1119" s="1345"/>
    </row>
    <row r="1120" spans="2:9">
      <c r="B1120" s="1354"/>
      <c r="C1120" s="1345"/>
      <c r="I1120" s="1345"/>
    </row>
    <row r="1121" spans="2:9">
      <c r="B1121" s="1354"/>
      <c r="C1121" s="1345"/>
      <c r="I1121" s="1345"/>
    </row>
    <row r="1122" spans="2:9">
      <c r="B1122" s="1354"/>
      <c r="C1122" s="1355"/>
      <c r="E1122" s="1427"/>
      <c r="F1122" s="1428"/>
      <c r="I1122" s="1345"/>
    </row>
    <row r="1123" spans="2:9">
      <c r="B1123" s="1354"/>
      <c r="I1123" s="1345"/>
    </row>
    <row r="1124" spans="2:9">
      <c r="B1124" s="1354"/>
      <c r="C1124" s="1379"/>
      <c r="E1124" s="1427"/>
      <c r="F1124" s="1427"/>
      <c r="I1124" s="1345"/>
    </row>
    <row r="1125" spans="2:9">
      <c r="B1125" s="1354"/>
      <c r="C1125" s="1355"/>
      <c r="E1125" s="1427"/>
      <c r="F1125" s="1427"/>
      <c r="I1125" s="1345"/>
    </row>
    <row r="1126" spans="2:9">
      <c r="B1126" s="1354"/>
      <c r="C1126" s="1429"/>
      <c r="E1126" s="1427"/>
      <c r="F1126" s="1428"/>
      <c r="I1126" s="1345"/>
    </row>
    <row r="1127" spans="2:9">
      <c r="B1127" s="1354"/>
      <c r="C1127" s="1355"/>
      <c r="E1127" s="1427"/>
      <c r="F1127" s="1427"/>
      <c r="I1127" s="1345"/>
    </row>
    <row r="1128" spans="2:9">
      <c r="B1128" s="1354"/>
      <c r="C1128" s="1379"/>
      <c r="E1128" s="1427"/>
      <c r="F1128" s="1427"/>
      <c r="I1128" s="1345"/>
    </row>
    <row r="1129" spans="2:9">
      <c r="B1129" s="1354"/>
      <c r="C1129" s="1355"/>
      <c r="E1129" s="1427"/>
      <c r="F1129" s="1427"/>
      <c r="I1129" s="1345"/>
    </row>
    <row r="1130" spans="2:9">
      <c r="B1130" s="1354"/>
      <c r="C1130" s="1429"/>
      <c r="E1130" s="1427"/>
      <c r="F1130" s="1428"/>
      <c r="I1130" s="1345"/>
    </row>
    <row r="1131" spans="2:9">
      <c r="B1131" s="1354"/>
      <c r="C1131" s="1429"/>
      <c r="E1131" s="1427"/>
      <c r="F1131" s="1427"/>
      <c r="I1131" s="1345"/>
    </row>
    <row r="1132" spans="2:9">
      <c r="B1132" s="1354"/>
      <c r="C1132" s="1379"/>
      <c r="E1132" s="1427"/>
      <c r="F1132" s="1427"/>
      <c r="I1132" s="1345"/>
    </row>
    <row r="1133" spans="2:9">
      <c r="B1133" s="1354"/>
      <c r="C1133" s="1355"/>
      <c r="E1133" s="1427"/>
      <c r="F1133" s="1427"/>
      <c r="I1133" s="1345"/>
    </row>
    <row r="1134" spans="2:9">
      <c r="B1134" s="1354"/>
      <c r="C1134" s="1429"/>
      <c r="E1134" s="1427"/>
      <c r="F1134" s="1428"/>
      <c r="I1134" s="1345"/>
    </row>
    <row r="1135" spans="2:9">
      <c r="B1135" s="1354"/>
      <c r="C1135" s="1429"/>
      <c r="E1135" s="1427"/>
      <c r="F1135" s="1428"/>
      <c r="I1135" s="1345"/>
    </row>
    <row r="1136" spans="2:9">
      <c r="B1136" s="1354"/>
      <c r="C1136" s="1430"/>
      <c r="E1136" s="1427"/>
      <c r="F1136" s="1427"/>
      <c r="I1136" s="1345"/>
    </row>
    <row r="1137" spans="2:9">
      <c r="B1137" s="1354"/>
      <c r="C1137" s="1355"/>
      <c r="E1137" s="1427"/>
      <c r="F1137" s="1427"/>
      <c r="I1137" s="1345"/>
    </row>
    <row r="1138" spans="2:9">
      <c r="B1138" s="1354"/>
      <c r="C1138" s="1355"/>
      <c r="E1138" s="1427"/>
      <c r="F1138" s="1428"/>
      <c r="I1138" s="1345"/>
    </row>
    <row r="1139" spans="2:9">
      <c r="B1139" s="1354"/>
      <c r="I1139" s="1345"/>
    </row>
    <row r="1140" spans="2:9">
      <c r="B1140" s="1354"/>
      <c r="C1140" s="1430"/>
      <c r="E1140" s="1427"/>
      <c r="F1140" s="1427"/>
      <c r="I1140" s="1345"/>
    </row>
    <row r="1141" spans="2:9">
      <c r="B1141" s="1354"/>
      <c r="C1141" s="1429"/>
      <c r="E1141" s="1427"/>
      <c r="F1141" s="1427"/>
      <c r="I1141" s="1345"/>
    </row>
    <row r="1142" spans="2:9">
      <c r="B1142" s="1354"/>
      <c r="C1142" s="1429"/>
      <c r="E1142" s="1427"/>
      <c r="F1142" s="1428"/>
      <c r="G1142" s="1425"/>
      <c r="I1142" s="1345"/>
    </row>
    <row r="1143" spans="2:9">
      <c r="B1143" s="1354"/>
      <c r="I1143" s="1345"/>
    </row>
    <row r="1144" spans="2:9">
      <c r="B1144" s="1354"/>
      <c r="I1144" s="1345"/>
    </row>
    <row r="1145" spans="2:9">
      <c r="B1145" s="1354"/>
      <c r="C1145" s="1379"/>
      <c r="E1145" s="1431"/>
      <c r="F1145" s="1428"/>
      <c r="I1145" s="1345"/>
    </row>
    <row r="1146" spans="2:9">
      <c r="B1146" s="1354"/>
      <c r="C1146" s="1355"/>
      <c r="E1146" s="1432"/>
      <c r="F1146" s="1432"/>
      <c r="G1146" s="1425"/>
      <c r="I1146" s="1345"/>
    </row>
    <row r="1147" spans="2:9">
      <c r="B1147" s="1354"/>
      <c r="C1147" s="1355"/>
      <c r="E1147" s="1432"/>
      <c r="F1147" s="1428"/>
      <c r="I1147" s="1345"/>
    </row>
    <row r="1148" spans="2:9">
      <c r="B1148" s="1354"/>
      <c r="C1148" s="1355"/>
      <c r="E1148" s="1432"/>
      <c r="F1148" s="1432"/>
      <c r="I1148" s="1345"/>
    </row>
    <row r="1149" spans="2:9">
      <c r="B1149" s="1354"/>
      <c r="C1149" s="1379"/>
      <c r="E1149" s="1431"/>
      <c r="F1149" s="1428"/>
      <c r="I1149" s="1345"/>
    </row>
    <row r="1150" spans="2:9">
      <c r="B1150" s="1354"/>
      <c r="C1150" s="1355"/>
      <c r="E1150" s="1432"/>
      <c r="F1150" s="1432"/>
      <c r="I1150" s="1345"/>
    </row>
    <row r="1151" spans="2:9">
      <c r="B1151" s="1354"/>
      <c r="C1151" s="1355"/>
      <c r="E1151" s="1432"/>
      <c r="F1151" s="1428"/>
      <c r="I1151" s="1345"/>
    </row>
    <row r="1152" spans="2:9">
      <c r="B1152" s="1354"/>
      <c r="C1152" s="1355"/>
      <c r="E1152" s="1432"/>
      <c r="F1152" s="1432"/>
      <c r="G1152" s="1433"/>
      <c r="I1152" s="1345"/>
    </row>
    <row r="1153" spans="2:9">
      <c r="B1153" s="1354"/>
      <c r="C1153" s="1434"/>
      <c r="E1153" s="1432"/>
      <c r="F1153" s="1428"/>
      <c r="I1153" s="1345"/>
    </row>
    <row r="1154" spans="2:9">
      <c r="B1154" s="1354"/>
      <c r="C1154" s="1434"/>
      <c r="E1154" s="1432"/>
      <c r="F1154" s="1428"/>
      <c r="I1154" s="1345"/>
    </row>
    <row r="1155" spans="2:9">
      <c r="B1155" s="1354"/>
      <c r="C1155" s="1379"/>
      <c r="E1155" s="1432"/>
      <c r="F1155" s="1432"/>
      <c r="I1155" s="1345"/>
    </row>
    <row r="1156" spans="2:9">
      <c r="B1156" s="1354"/>
      <c r="C1156" s="1355"/>
      <c r="E1156" s="1432"/>
      <c r="F1156" s="1432"/>
      <c r="I1156" s="1345"/>
    </row>
    <row r="1157" spans="2:9">
      <c r="B1157" s="1354"/>
      <c r="C1157" s="1434"/>
      <c r="E1157" s="1432"/>
      <c r="F1157" s="1428"/>
      <c r="I1157" s="1345"/>
    </row>
    <row r="1158" spans="2:9">
      <c r="B1158" s="1354"/>
      <c r="G1158" s="1425"/>
      <c r="I1158" s="1345"/>
    </row>
    <row r="1159" spans="2:9">
      <c r="B1159" s="1354"/>
      <c r="I1159" s="1345"/>
    </row>
    <row r="1160" spans="2:9">
      <c r="B1160" s="1354"/>
      <c r="I1160" s="1345"/>
    </row>
    <row r="1161" spans="2:9">
      <c r="B1161" s="1354"/>
      <c r="C1161" s="1379"/>
      <c r="E1161" s="1431"/>
      <c r="F1161" s="1428"/>
      <c r="I1161" s="1345"/>
    </row>
    <row r="1162" spans="2:9">
      <c r="B1162" s="1354"/>
      <c r="C1162" s="1355"/>
      <c r="E1162" s="1432"/>
      <c r="F1162" s="1432"/>
      <c r="I1162" s="1345"/>
    </row>
    <row r="1163" spans="2:9">
      <c r="B1163" s="1354"/>
      <c r="C1163" s="1355"/>
      <c r="E1163" s="1432"/>
      <c r="F1163" s="1428"/>
      <c r="I1163" s="1345"/>
    </row>
    <row r="1164" spans="2:9">
      <c r="B1164" s="1354"/>
      <c r="I1164" s="1345"/>
    </row>
    <row r="1165" spans="2:9">
      <c r="B1165" s="1354"/>
      <c r="C1165" s="1435"/>
      <c r="E1165" s="1427"/>
      <c r="F1165" s="1427"/>
      <c r="I1165" s="1345"/>
    </row>
    <row r="1166" spans="2:9">
      <c r="B1166" s="1354"/>
      <c r="C1166" s="1355"/>
      <c r="E1166" s="1427"/>
      <c r="F1166" s="1427"/>
      <c r="I1166" s="1345"/>
    </row>
    <row r="1167" spans="2:9">
      <c r="B1167" s="1354"/>
      <c r="C1167" s="1436"/>
      <c r="E1167" s="1432"/>
      <c r="F1167" s="1428"/>
      <c r="I1167" s="1345"/>
    </row>
    <row r="1168" spans="2:9">
      <c r="B1168" s="1354"/>
      <c r="C1168" s="1434"/>
      <c r="E1168" s="1432"/>
      <c r="F1168" s="1428"/>
      <c r="I1168" s="1345"/>
    </row>
    <row r="1169" spans="2:9">
      <c r="B1169" s="1354"/>
      <c r="C1169" s="1435"/>
      <c r="E1169" s="1427"/>
      <c r="F1169" s="1427"/>
      <c r="I1169" s="1345"/>
    </row>
    <row r="1170" spans="2:9">
      <c r="B1170" s="1354"/>
      <c r="C1170" s="1355"/>
      <c r="E1170" s="1427"/>
      <c r="F1170" s="1427"/>
      <c r="I1170" s="1345"/>
    </row>
    <row r="1171" spans="2:9">
      <c r="B1171" s="1354"/>
      <c r="C1171" s="1434"/>
      <c r="E1171" s="1432"/>
      <c r="F1171" s="1428"/>
      <c r="I1171" s="1345"/>
    </row>
    <row r="1172" spans="2:9">
      <c r="B1172" s="1354"/>
      <c r="I1172" s="1345"/>
    </row>
    <row r="1173" spans="2:9">
      <c r="B1173" s="1354"/>
      <c r="C1173" s="1437"/>
      <c r="E1173" s="1427"/>
      <c r="F1173" s="1427"/>
      <c r="I1173" s="1345"/>
    </row>
    <row r="1174" spans="2:9">
      <c r="B1174" s="1354"/>
      <c r="C1174" s="1355"/>
      <c r="E1174" s="1427"/>
      <c r="F1174" s="1427"/>
      <c r="I1174" s="1345"/>
    </row>
    <row r="1175" spans="2:9">
      <c r="B1175" s="1354"/>
      <c r="C1175" s="1436"/>
      <c r="E1175" s="1432"/>
      <c r="F1175" s="1428"/>
      <c r="I1175" s="1345"/>
    </row>
    <row r="1176" spans="2:9">
      <c r="B1176" s="1354"/>
      <c r="I1176" s="1345"/>
    </row>
    <row r="1177" spans="2:9">
      <c r="B1177" s="1354"/>
      <c r="C1177" s="1435"/>
      <c r="E1177" s="1432"/>
      <c r="F1177" s="1428"/>
      <c r="I1177" s="1345"/>
    </row>
    <row r="1178" spans="2:9">
      <c r="B1178" s="1354"/>
      <c r="C1178" s="1355"/>
      <c r="E1178" s="1432"/>
      <c r="F1178" s="1428"/>
      <c r="I1178" s="1345"/>
    </row>
    <row r="1179" spans="2:9">
      <c r="B1179" s="1354"/>
      <c r="C1179" s="1434"/>
      <c r="E1179" s="1432"/>
      <c r="F1179" s="1428"/>
      <c r="I1179" s="1345"/>
    </row>
    <row r="1180" spans="2:9">
      <c r="B1180" s="1354"/>
      <c r="C1180" s="1436"/>
      <c r="E1180" s="1427"/>
      <c r="F1180" s="1428"/>
      <c r="I1180" s="1345"/>
    </row>
    <row r="1181" spans="2:9">
      <c r="B1181" s="1354"/>
      <c r="C1181" s="1436"/>
      <c r="E1181" s="1427"/>
      <c r="F1181" s="1428"/>
      <c r="I1181" s="1345"/>
    </row>
    <row r="1182" spans="2:9">
      <c r="B1182" s="1354"/>
      <c r="C1182" s="1434"/>
      <c r="E1182" s="1432"/>
      <c r="F1182" s="1428"/>
      <c r="I1182" s="1345"/>
    </row>
    <row r="1183" spans="2:9">
      <c r="B1183" s="1354"/>
      <c r="C1183" s="1435"/>
      <c r="E1183" s="1427"/>
      <c r="F1183" s="1427"/>
      <c r="I1183" s="1345"/>
    </row>
    <row r="1184" spans="2:9">
      <c r="B1184" s="1354"/>
      <c r="C1184" s="1355"/>
      <c r="E1184" s="1427"/>
      <c r="F1184" s="1427"/>
      <c r="I1184" s="1345"/>
    </row>
    <row r="1185" spans="2:9">
      <c r="B1185" s="1354"/>
      <c r="C1185" s="1436"/>
      <c r="E1185" s="1432"/>
      <c r="F1185" s="1428"/>
      <c r="I1185" s="1345"/>
    </row>
    <row r="1186" spans="2:9">
      <c r="B1186" s="1354"/>
      <c r="C1186" s="1436"/>
      <c r="E1186" s="1427"/>
      <c r="F1186" s="1428"/>
      <c r="I1186" s="1345"/>
    </row>
    <row r="1187" spans="2:9">
      <c r="B1187" s="1354"/>
      <c r="C1187" s="1436"/>
      <c r="E1187" s="1427"/>
      <c r="F1187" s="1428"/>
      <c r="I1187" s="1345"/>
    </row>
    <row r="1188" spans="2:9">
      <c r="B1188" s="1354"/>
      <c r="C1188" s="1436"/>
      <c r="E1188" s="1432"/>
      <c r="F1188" s="1428"/>
      <c r="I1188" s="1345"/>
    </row>
    <row r="1189" spans="2:9">
      <c r="B1189" s="1354"/>
      <c r="C1189" s="1435"/>
      <c r="E1189" s="1427"/>
      <c r="F1189" s="1427"/>
      <c r="I1189" s="1345"/>
    </row>
    <row r="1190" spans="2:9">
      <c r="B1190" s="1354"/>
      <c r="C1190" s="1355"/>
      <c r="E1190" s="1427"/>
      <c r="F1190" s="1427"/>
      <c r="I1190" s="1345"/>
    </row>
    <row r="1191" spans="2:9">
      <c r="B1191" s="1354"/>
      <c r="C1191" s="1434"/>
      <c r="E1191" s="1432"/>
      <c r="F1191" s="1428"/>
      <c r="I1191" s="1345"/>
    </row>
    <row r="1192" spans="2:9">
      <c r="B1192" s="1354"/>
      <c r="C1192" s="1436"/>
      <c r="E1192" s="1427"/>
      <c r="F1192" s="1428"/>
      <c r="I1192" s="1345"/>
    </row>
    <row r="1193" spans="2:9">
      <c r="B1193" s="1354"/>
      <c r="C1193" s="1436"/>
      <c r="E1193" s="1427"/>
      <c r="F1193" s="1428"/>
      <c r="I1193" s="1345"/>
    </row>
    <row r="1194" spans="2:9">
      <c r="B1194" s="1354"/>
      <c r="C1194" s="1436"/>
      <c r="E1194" s="1427"/>
      <c r="F1194" s="1428"/>
      <c r="I1194" s="1345"/>
    </row>
    <row r="1195" spans="2:9">
      <c r="B1195" s="1354"/>
      <c r="C1195" s="1436"/>
      <c r="E1195" s="1427"/>
      <c r="F1195" s="1428"/>
      <c r="I1195" s="1345"/>
    </row>
    <row r="1196" spans="2:9">
      <c r="B1196" s="1354"/>
      <c r="C1196" s="1436"/>
      <c r="E1196" s="1427"/>
      <c r="F1196" s="1428"/>
      <c r="I1196" s="1345"/>
    </row>
    <row r="1197" spans="2:9">
      <c r="B1197" s="1354"/>
      <c r="C1197" s="1436"/>
      <c r="E1197" s="1427"/>
      <c r="F1197" s="1428"/>
      <c r="I1197" s="1345"/>
    </row>
    <row r="1198" spans="2:9">
      <c r="B1198" s="1354"/>
      <c r="C1198" s="1436"/>
      <c r="E1198" s="1427"/>
      <c r="F1198" s="1427"/>
      <c r="I1198" s="1345"/>
    </row>
    <row r="1199" spans="2:9">
      <c r="B1199" s="1354"/>
      <c r="C1199" s="1435"/>
      <c r="E1199" s="1427"/>
      <c r="F1199" s="1427"/>
      <c r="I1199" s="1345"/>
    </row>
    <row r="1200" spans="2:9">
      <c r="B1200" s="1354"/>
      <c r="C1200" s="1355"/>
      <c r="E1200" s="1427"/>
      <c r="F1200" s="1427"/>
      <c r="I1200" s="1345"/>
    </row>
    <row r="1201" spans="2:9">
      <c r="B1201" s="1354"/>
      <c r="C1201" s="1434"/>
      <c r="E1201" s="1432"/>
      <c r="F1201" s="1428"/>
      <c r="I1201" s="1345"/>
    </row>
    <row r="1202" spans="2:9">
      <c r="B1202" s="1354"/>
      <c r="C1202" s="1434"/>
      <c r="E1202" s="1432"/>
      <c r="F1202" s="1428"/>
      <c r="I1202" s="1345"/>
    </row>
    <row r="1203" spans="2:9">
      <c r="B1203" s="1354"/>
      <c r="C1203" s="1435"/>
      <c r="E1203" s="1427"/>
      <c r="F1203" s="1427"/>
      <c r="I1203" s="1345"/>
    </row>
    <row r="1204" spans="2:9">
      <c r="B1204" s="1354"/>
      <c r="C1204" s="1429"/>
      <c r="E1204" s="1427"/>
      <c r="F1204" s="1427"/>
      <c r="I1204" s="1345"/>
    </row>
    <row r="1205" spans="2:9">
      <c r="B1205" s="1354"/>
      <c r="C1205" s="1434"/>
      <c r="E1205" s="1432"/>
      <c r="F1205" s="1428"/>
      <c r="I1205" s="1345"/>
    </row>
    <row r="1206" spans="2:9">
      <c r="B1206" s="1354"/>
      <c r="C1206" s="1436"/>
      <c r="E1206" s="1427"/>
      <c r="F1206" s="1428"/>
      <c r="I1206" s="1345"/>
    </row>
    <row r="1207" spans="2:9">
      <c r="B1207" s="1354"/>
      <c r="C1207" s="1436"/>
      <c r="E1207" s="1427"/>
      <c r="F1207" s="1428"/>
      <c r="I1207" s="1345"/>
    </row>
    <row r="1208" spans="2:9">
      <c r="B1208" s="1354"/>
      <c r="C1208" s="1434"/>
      <c r="E1208" s="1432"/>
      <c r="F1208" s="1428"/>
      <c r="I1208" s="1345"/>
    </row>
    <row r="1209" spans="2:9">
      <c r="B1209" s="1354"/>
      <c r="C1209" s="1435"/>
      <c r="E1209" s="1427"/>
      <c r="F1209" s="1427"/>
      <c r="I1209" s="1345"/>
    </row>
    <row r="1210" spans="2:9">
      <c r="B1210" s="1354"/>
      <c r="C1210" s="1355"/>
      <c r="E1210" s="1427"/>
      <c r="F1210" s="1427"/>
      <c r="I1210" s="1345"/>
    </row>
    <row r="1211" spans="2:9">
      <c r="B1211" s="1354"/>
      <c r="C1211" s="1434"/>
      <c r="E1211" s="1432"/>
      <c r="F1211" s="1428"/>
      <c r="I1211" s="1345"/>
    </row>
    <row r="1220" spans="2:9">
      <c r="B1220" s="1354"/>
      <c r="G1220" s="1433"/>
      <c r="I1220" s="1345"/>
    </row>
    <row r="1221" spans="2:9">
      <c r="B1221" s="1354"/>
      <c r="I1221" s="1345"/>
    </row>
    <row r="1222" spans="2:9">
      <c r="B1222" s="1354"/>
      <c r="I1222" s="1345"/>
    </row>
    <row r="1223" spans="2:9">
      <c r="B1223" s="1354"/>
      <c r="C1223" s="1379"/>
      <c r="E1223" s="1432"/>
      <c r="F1223" s="1432"/>
      <c r="I1223" s="1345"/>
    </row>
    <row r="1224" spans="2:9">
      <c r="B1224" s="1354"/>
      <c r="C1224" s="1355"/>
      <c r="E1224" s="1432"/>
      <c r="F1224" s="1432"/>
      <c r="I1224" s="1345"/>
    </row>
    <row r="1225" spans="2:9">
      <c r="B1225" s="1354"/>
      <c r="C1225" s="1434"/>
      <c r="E1225" s="1432"/>
      <c r="F1225" s="1428"/>
      <c r="I1225" s="1345"/>
    </row>
    <row r="1226" spans="2:9">
      <c r="B1226" s="1354"/>
      <c r="I1226" s="1345"/>
    </row>
    <row r="1227" spans="2:9">
      <c r="B1227" s="1354"/>
      <c r="I1227" s="1345"/>
    </row>
    <row r="1228" spans="2:9">
      <c r="B1228" s="1354"/>
      <c r="C1228" s="1437"/>
      <c r="E1228" s="1427"/>
      <c r="F1228" s="1427"/>
      <c r="I1228" s="1345"/>
    </row>
    <row r="1229" spans="2:9">
      <c r="B1229" s="1354"/>
      <c r="C1229" s="1355"/>
      <c r="E1229" s="1427"/>
      <c r="F1229" s="1427"/>
      <c r="I1229" s="1345"/>
    </row>
    <row r="1230" spans="2:9">
      <c r="B1230" s="1354"/>
      <c r="C1230" s="1436"/>
      <c r="E1230" s="1432"/>
      <c r="F1230" s="1428"/>
      <c r="I1230" s="1345"/>
    </row>
    <row r="1231" spans="2:9">
      <c r="B1231" s="1354"/>
      <c r="I1231" s="1345"/>
    </row>
    <row r="1232" spans="2:9">
      <c r="B1232" s="1354"/>
      <c r="C1232" s="1435"/>
      <c r="E1232" s="1432"/>
      <c r="F1232" s="1428"/>
      <c r="I1232" s="1345"/>
    </row>
    <row r="1233" spans="2:9">
      <c r="B1233" s="1354"/>
      <c r="C1233" s="1355"/>
      <c r="E1233" s="1432"/>
      <c r="F1233" s="1428"/>
      <c r="I1233" s="1345"/>
    </row>
    <row r="1234" spans="2:9">
      <c r="B1234" s="1354"/>
      <c r="C1234" s="1434"/>
      <c r="E1234" s="1432"/>
      <c r="F1234" s="1428"/>
      <c r="I1234" s="1345"/>
    </row>
    <row r="1235" spans="2:9">
      <c r="C1235" s="1436"/>
      <c r="E1235" s="1427"/>
      <c r="F1235" s="1428"/>
      <c r="G1235" s="1345"/>
      <c r="I1235" s="1345"/>
    </row>
    <row r="1236" spans="2:9">
      <c r="C1236" s="1436"/>
      <c r="E1236" s="1427"/>
      <c r="F1236" s="1428"/>
      <c r="G1236" s="1345"/>
      <c r="I1236" s="1345"/>
    </row>
    <row r="1238" spans="2:9">
      <c r="B1238" s="1354"/>
      <c r="G1238" s="1345"/>
      <c r="I1238" s="1345"/>
    </row>
    <row r="1241" spans="2:9">
      <c r="C1241" s="1345"/>
      <c r="G1241" s="1345"/>
      <c r="I1241" s="1345"/>
    </row>
  </sheetData>
  <sheetProtection algorithmName="SHA-512" hashValue="+i6YM69uDzd7MY5LcN0Kk/UG78wJYhwIGHiH0W4KFjZIMry5KRgY9RWDetNnRIxuWM6zBITNguzXDJKKGOHiWg==" saltValue="qtjevXmwgMfGqTinOTNPIA==" spinCount="100000" sheet="1" objects="1" scenarios="1"/>
  <mergeCells count="31">
    <mergeCell ref="C1033:D1033"/>
    <mergeCell ref="E1033:G1033"/>
    <mergeCell ref="B1030:G1030"/>
    <mergeCell ref="C1031:D1031"/>
    <mergeCell ref="E1031:G1031"/>
    <mergeCell ref="C1032:D1032"/>
    <mergeCell ref="E1032:G1032"/>
    <mergeCell ref="C1034:D1034"/>
    <mergeCell ref="E1034:G1034"/>
    <mergeCell ref="C1035:D1035"/>
    <mergeCell ref="E1035:G1035"/>
    <mergeCell ref="C1036:D1036"/>
    <mergeCell ref="E1036:G1036"/>
    <mergeCell ref="C1037:D1037"/>
    <mergeCell ref="E1037:G1037"/>
    <mergeCell ref="C1038:D1038"/>
    <mergeCell ref="E1038:G1038"/>
    <mergeCell ref="C1039:D1039"/>
    <mergeCell ref="E1039:G1039"/>
    <mergeCell ref="C1040:D1040"/>
    <mergeCell ref="E1040:G1040"/>
    <mergeCell ref="C1041:D1041"/>
    <mergeCell ref="E1041:G1041"/>
    <mergeCell ref="C1042:D1042"/>
    <mergeCell ref="E1042:G1042"/>
    <mergeCell ref="C1043:D1043"/>
    <mergeCell ref="E1043:G1043"/>
    <mergeCell ref="C1044:D1044"/>
    <mergeCell ref="E1044:G1044"/>
    <mergeCell ref="C1045:D1045"/>
    <mergeCell ref="E1045:G1045"/>
  </mergeCells>
  <conditionalFormatting sqref="E902">
    <cfRule type="cellIs" dxfId="0" priority="1" stopIfTrue="1" operator="equal">
      <formula>0</formula>
    </cfRule>
  </conditionalFormatting>
  <printOptions horizontalCentered="1"/>
  <pageMargins left="0.78740157480314965" right="0.59055118110236227" top="0.98425196850393704" bottom="0.74803149606299213" header="0.31496062992125984" footer="0.31496062992125984"/>
  <pageSetup paperSize="9" scale="72" fitToHeight="0" orientation="portrait" useFirstPageNumber="1" r:id="rId1"/>
  <headerFooter>
    <oddHeader xml:space="preserve">&amp;L&amp;"Arial,Podebljano"&amp;9Investitor: Hrvatski institut za povijest&amp;C&amp;"Arial,Podebljano"Troškovnik - Krajobrazno uređenje
&amp;R&amp;"Arial,Podebljano"&amp;9datum:
lipanj 2025.
</oddHeader>
    <oddFooter xml:space="preserve">&amp;C&amp;"Arial,Podebljano"&amp;9Građevina:
Palača bogoštovlja i nastave&amp;Rstr.: &amp;P od &amp;N
</oddFooter>
  </headerFooter>
  <rowBreaks count="8" manualBreakCount="8">
    <brk id="249" min="1" max="6" man="1"/>
    <brk id="374" min="1" max="6" man="1"/>
    <brk id="644" min="1" max="6" man="1"/>
    <brk id="676" min="1" max="6" man="1"/>
    <brk id="709" min="1" max="6" man="1"/>
    <brk id="716" min="1" max="6" man="1"/>
    <brk id="897" min="1" max="6" man="1"/>
    <brk id="1028"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2:G347"/>
  <sheetViews>
    <sheetView topLeftCell="A251" zoomScaleNormal="100" zoomScaleSheetLayoutView="100" workbookViewId="0">
      <selection activeCell="A259" sqref="A259"/>
    </sheetView>
  </sheetViews>
  <sheetFormatPr defaultColWidth="8.85546875" defaultRowHeight="15"/>
  <cols>
    <col min="1" max="1" width="109.28515625" style="167" customWidth="1"/>
    <col min="2" max="248" width="8.85546875" style="168"/>
    <col min="249" max="249" width="4.85546875" style="168" bestFit="1" customWidth="1"/>
    <col min="250" max="250" width="33.85546875" style="168" customWidth="1"/>
    <col min="251" max="253" width="8.85546875" style="168"/>
    <col min="254" max="254" width="14.42578125" style="168" customWidth="1"/>
    <col min="255" max="504" width="8.85546875" style="168"/>
    <col min="505" max="505" width="4.85546875" style="168" bestFit="1" customWidth="1"/>
    <col min="506" max="506" width="33.85546875" style="168" customWidth="1"/>
    <col min="507" max="509" width="8.85546875" style="168"/>
    <col min="510" max="510" width="14.42578125" style="168" customWidth="1"/>
    <col min="511" max="760" width="8.85546875" style="168"/>
    <col min="761" max="761" width="4.85546875" style="168" bestFit="1" customWidth="1"/>
    <col min="762" max="762" width="33.85546875" style="168" customWidth="1"/>
    <col min="763" max="765" width="8.85546875" style="168"/>
    <col min="766" max="766" width="14.42578125" style="168" customWidth="1"/>
    <col min="767" max="1016" width="8.85546875" style="168"/>
    <col min="1017" max="1017" width="4.85546875" style="168" bestFit="1" customWidth="1"/>
    <col min="1018" max="1018" width="33.85546875" style="168" customWidth="1"/>
    <col min="1019" max="1021" width="8.85546875" style="168"/>
    <col min="1022" max="1022" width="14.42578125" style="168" customWidth="1"/>
    <col min="1023" max="1272" width="8.85546875" style="168"/>
    <col min="1273" max="1273" width="4.85546875" style="168" bestFit="1" customWidth="1"/>
    <col min="1274" max="1274" width="33.85546875" style="168" customWidth="1"/>
    <col min="1275" max="1277" width="8.85546875" style="168"/>
    <col min="1278" max="1278" width="14.42578125" style="168" customWidth="1"/>
    <col min="1279" max="1528" width="8.85546875" style="168"/>
    <col min="1529" max="1529" width="4.85546875" style="168" bestFit="1" customWidth="1"/>
    <col min="1530" max="1530" width="33.85546875" style="168" customWidth="1"/>
    <col min="1531" max="1533" width="8.85546875" style="168"/>
    <col min="1534" max="1534" width="14.42578125" style="168" customWidth="1"/>
    <col min="1535" max="1784" width="8.85546875" style="168"/>
    <col min="1785" max="1785" width="4.85546875" style="168" bestFit="1" customWidth="1"/>
    <col min="1786" max="1786" width="33.85546875" style="168" customWidth="1"/>
    <col min="1787" max="1789" width="8.85546875" style="168"/>
    <col min="1790" max="1790" width="14.42578125" style="168" customWidth="1"/>
    <col min="1791" max="2040" width="8.85546875" style="168"/>
    <col min="2041" max="2041" width="4.85546875" style="168" bestFit="1" customWidth="1"/>
    <col min="2042" max="2042" width="33.85546875" style="168" customWidth="1"/>
    <col min="2043" max="2045" width="8.85546875" style="168"/>
    <col min="2046" max="2046" width="14.42578125" style="168" customWidth="1"/>
    <col min="2047" max="2296" width="8.85546875" style="168"/>
    <col min="2297" max="2297" width="4.85546875" style="168" bestFit="1" customWidth="1"/>
    <col min="2298" max="2298" width="33.85546875" style="168" customWidth="1"/>
    <col min="2299" max="2301" width="8.85546875" style="168"/>
    <col min="2302" max="2302" width="14.42578125" style="168" customWidth="1"/>
    <col min="2303" max="2552" width="8.85546875" style="168"/>
    <col min="2553" max="2553" width="4.85546875" style="168" bestFit="1" customWidth="1"/>
    <col min="2554" max="2554" width="33.85546875" style="168" customWidth="1"/>
    <col min="2555" max="2557" width="8.85546875" style="168"/>
    <col min="2558" max="2558" width="14.42578125" style="168" customWidth="1"/>
    <col min="2559" max="2808" width="8.85546875" style="168"/>
    <col min="2809" max="2809" width="4.85546875" style="168" bestFit="1" customWidth="1"/>
    <col min="2810" max="2810" width="33.85546875" style="168" customWidth="1"/>
    <col min="2811" max="2813" width="8.85546875" style="168"/>
    <col min="2814" max="2814" width="14.42578125" style="168" customWidth="1"/>
    <col min="2815" max="3064" width="8.85546875" style="168"/>
    <col min="3065" max="3065" width="4.85546875" style="168" bestFit="1" customWidth="1"/>
    <col min="3066" max="3066" width="33.85546875" style="168" customWidth="1"/>
    <col min="3067" max="3069" width="8.85546875" style="168"/>
    <col min="3070" max="3070" width="14.42578125" style="168" customWidth="1"/>
    <col min="3071" max="3320" width="8.85546875" style="168"/>
    <col min="3321" max="3321" width="4.85546875" style="168" bestFit="1" customWidth="1"/>
    <col min="3322" max="3322" width="33.85546875" style="168" customWidth="1"/>
    <col min="3323" max="3325" width="8.85546875" style="168"/>
    <col min="3326" max="3326" width="14.42578125" style="168" customWidth="1"/>
    <col min="3327" max="3576" width="8.85546875" style="168"/>
    <col min="3577" max="3577" width="4.85546875" style="168" bestFit="1" customWidth="1"/>
    <col min="3578" max="3578" width="33.85546875" style="168" customWidth="1"/>
    <col min="3579" max="3581" width="8.85546875" style="168"/>
    <col min="3582" max="3582" width="14.42578125" style="168" customWidth="1"/>
    <col min="3583" max="3832" width="8.85546875" style="168"/>
    <col min="3833" max="3833" width="4.85546875" style="168" bestFit="1" customWidth="1"/>
    <col min="3834" max="3834" width="33.85546875" style="168" customWidth="1"/>
    <col min="3835" max="3837" width="8.85546875" style="168"/>
    <col min="3838" max="3838" width="14.42578125" style="168" customWidth="1"/>
    <col min="3839" max="4088" width="8.85546875" style="168"/>
    <col min="4089" max="4089" width="4.85546875" style="168" bestFit="1" customWidth="1"/>
    <col min="4090" max="4090" width="33.85546875" style="168" customWidth="1"/>
    <col min="4091" max="4093" width="8.85546875" style="168"/>
    <col min="4094" max="4094" width="14.42578125" style="168" customWidth="1"/>
    <col min="4095" max="4344" width="8.85546875" style="168"/>
    <col min="4345" max="4345" width="4.85546875" style="168" bestFit="1" customWidth="1"/>
    <col min="4346" max="4346" width="33.85546875" style="168" customWidth="1"/>
    <col min="4347" max="4349" width="8.85546875" style="168"/>
    <col min="4350" max="4350" width="14.42578125" style="168" customWidth="1"/>
    <col min="4351" max="4600" width="8.85546875" style="168"/>
    <col min="4601" max="4601" width="4.85546875" style="168" bestFit="1" customWidth="1"/>
    <col min="4602" max="4602" width="33.85546875" style="168" customWidth="1"/>
    <col min="4603" max="4605" width="8.85546875" style="168"/>
    <col min="4606" max="4606" width="14.42578125" style="168" customWidth="1"/>
    <col min="4607" max="4856" width="8.85546875" style="168"/>
    <col min="4857" max="4857" width="4.85546875" style="168" bestFit="1" customWidth="1"/>
    <col min="4858" max="4858" width="33.85546875" style="168" customWidth="1"/>
    <col min="4859" max="4861" width="8.85546875" style="168"/>
    <col min="4862" max="4862" width="14.42578125" style="168" customWidth="1"/>
    <col min="4863" max="5112" width="8.85546875" style="168"/>
    <col min="5113" max="5113" width="4.85546875" style="168" bestFit="1" customWidth="1"/>
    <col min="5114" max="5114" width="33.85546875" style="168" customWidth="1"/>
    <col min="5115" max="5117" width="8.85546875" style="168"/>
    <col min="5118" max="5118" width="14.42578125" style="168" customWidth="1"/>
    <col min="5119" max="5368" width="8.85546875" style="168"/>
    <col min="5369" max="5369" width="4.85546875" style="168" bestFit="1" customWidth="1"/>
    <col min="5370" max="5370" width="33.85546875" style="168" customWidth="1"/>
    <col min="5371" max="5373" width="8.85546875" style="168"/>
    <col min="5374" max="5374" width="14.42578125" style="168" customWidth="1"/>
    <col min="5375" max="5624" width="8.85546875" style="168"/>
    <col min="5625" max="5625" width="4.85546875" style="168" bestFit="1" customWidth="1"/>
    <col min="5626" max="5626" width="33.85546875" style="168" customWidth="1"/>
    <col min="5627" max="5629" width="8.85546875" style="168"/>
    <col min="5630" max="5630" width="14.42578125" style="168" customWidth="1"/>
    <col min="5631" max="5880" width="8.85546875" style="168"/>
    <col min="5881" max="5881" width="4.85546875" style="168" bestFit="1" customWidth="1"/>
    <col min="5882" max="5882" width="33.85546875" style="168" customWidth="1"/>
    <col min="5883" max="5885" width="8.85546875" style="168"/>
    <col min="5886" max="5886" width="14.42578125" style="168" customWidth="1"/>
    <col min="5887" max="6136" width="8.85546875" style="168"/>
    <col min="6137" max="6137" width="4.85546875" style="168" bestFit="1" customWidth="1"/>
    <col min="6138" max="6138" width="33.85546875" style="168" customWidth="1"/>
    <col min="6139" max="6141" width="8.85546875" style="168"/>
    <col min="6142" max="6142" width="14.42578125" style="168" customWidth="1"/>
    <col min="6143" max="6392" width="8.85546875" style="168"/>
    <col min="6393" max="6393" width="4.85546875" style="168" bestFit="1" customWidth="1"/>
    <col min="6394" max="6394" width="33.85546875" style="168" customWidth="1"/>
    <col min="6395" max="6397" width="8.85546875" style="168"/>
    <col min="6398" max="6398" width="14.42578125" style="168" customWidth="1"/>
    <col min="6399" max="6648" width="8.85546875" style="168"/>
    <col min="6649" max="6649" width="4.85546875" style="168" bestFit="1" customWidth="1"/>
    <col min="6650" max="6650" width="33.85546875" style="168" customWidth="1"/>
    <col min="6651" max="6653" width="8.85546875" style="168"/>
    <col min="6654" max="6654" width="14.42578125" style="168" customWidth="1"/>
    <col min="6655" max="6904" width="8.85546875" style="168"/>
    <col min="6905" max="6905" width="4.85546875" style="168" bestFit="1" customWidth="1"/>
    <col min="6906" max="6906" width="33.85546875" style="168" customWidth="1"/>
    <col min="6907" max="6909" width="8.85546875" style="168"/>
    <col min="6910" max="6910" width="14.42578125" style="168" customWidth="1"/>
    <col min="6911" max="7160" width="8.85546875" style="168"/>
    <col min="7161" max="7161" width="4.85546875" style="168" bestFit="1" customWidth="1"/>
    <col min="7162" max="7162" width="33.85546875" style="168" customWidth="1"/>
    <col min="7163" max="7165" width="8.85546875" style="168"/>
    <col min="7166" max="7166" width="14.42578125" style="168" customWidth="1"/>
    <col min="7167" max="7416" width="8.85546875" style="168"/>
    <col min="7417" max="7417" width="4.85546875" style="168" bestFit="1" customWidth="1"/>
    <col min="7418" max="7418" width="33.85546875" style="168" customWidth="1"/>
    <col min="7419" max="7421" width="8.85546875" style="168"/>
    <col min="7422" max="7422" width="14.42578125" style="168" customWidth="1"/>
    <col min="7423" max="7672" width="8.85546875" style="168"/>
    <col min="7673" max="7673" width="4.85546875" style="168" bestFit="1" customWidth="1"/>
    <col min="7674" max="7674" width="33.85546875" style="168" customWidth="1"/>
    <col min="7675" max="7677" width="8.85546875" style="168"/>
    <col min="7678" max="7678" width="14.42578125" style="168" customWidth="1"/>
    <col min="7679" max="7928" width="8.85546875" style="168"/>
    <col min="7929" max="7929" width="4.85546875" style="168" bestFit="1" customWidth="1"/>
    <col min="7930" max="7930" width="33.85546875" style="168" customWidth="1"/>
    <col min="7931" max="7933" width="8.85546875" style="168"/>
    <col min="7934" max="7934" width="14.42578125" style="168" customWidth="1"/>
    <col min="7935" max="8184" width="8.85546875" style="168"/>
    <col min="8185" max="8185" width="4.85546875" style="168" bestFit="1" customWidth="1"/>
    <col min="8186" max="8186" width="33.85546875" style="168" customWidth="1"/>
    <col min="8187" max="8189" width="8.85546875" style="168"/>
    <col min="8190" max="8190" width="14.42578125" style="168" customWidth="1"/>
    <col min="8191" max="8440" width="8.85546875" style="168"/>
    <col min="8441" max="8441" width="4.85546875" style="168" bestFit="1" customWidth="1"/>
    <col min="8442" max="8442" width="33.85546875" style="168" customWidth="1"/>
    <col min="8443" max="8445" width="8.85546875" style="168"/>
    <col min="8446" max="8446" width="14.42578125" style="168" customWidth="1"/>
    <col min="8447" max="8696" width="8.85546875" style="168"/>
    <col min="8697" max="8697" width="4.85546875" style="168" bestFit="1" customWidth="1"/>
    <col min="8698" max="8698" width="33.85546875" style="168" customWidth="1"/>
    <col min="8699" max="8701" width="8.85546875" style="168"/>
    <col min="8702" max="8702" width="14.42578125" style="168" customWidth="1"/>
    <col min="8703" max="8952" width="8.85546875" style="168"/>
    <col min="8953" max="8953" width="4.85546875" style="168" bestFit="1" customWidth="1"/>
    <col min="8954" max="8954" width="33.85546875" style="168" customWidth="1"/>
    <col min="8955" max="8957" width="8.85546875" style="168"/>
    <col min="8958" max="8958" width="14.42578125" style="168" customWidth="1"/>
    <col min="8959" max="9208" width="8.85546875" style="168"/>
    <col min="9209" max="9209" width="4.85546875" style="168" bestFit="1" customWidth="1"/>
    <col min="9210" max="9210" width="33.85546875" style="168" customWidth="1"/>
    <col min="9211" max="9213" width="8.85546875" style="168"/>
    <col min="9214" max="9214" width="14.42578125" style="168" customWidth="1"/>
    <col min="9215" max="9464" width="8.85546875" style="168"/>
    <col min="9465" max="9465" width="4.85546875" style="168" bestFit="1" customWidth="1"/>
    <col min="9466" max="9466" width="33.85546875" style="168" customWidth="1"/>
    <col min="9467" max="9469" width="8.85546875" style="168"/>
    <col min="9470" max="9470" width="14.42578125" style="168" customWidth="1"/>
    <col min="9471" max="9720" width="8.85546875" style="168"/>
    <col min="9721" max="9721" width="4.85546875" style="168" bestFit="1" customWidth="1"/>
    <col min="9722" max="9722" width="33.85546875" style="168" customWidth="1"/>
    <col min="9723" max="9725" width="8.85546875" style="168"/>
    <col min="9726" max="9726" width="14.42578125" style="168" customWidth="1"/>
    <col min="9727" max="9976" width="8.85546875" style="168"/>
    <col min="9977" max="9977" width="4.85546875" style="168" bestFit="1" customWidth="1"/>
    <col min="9978" max="9978" width="33.85546875" style="168" customWidth="1"/>
    <col min="9979" max="9981" width="8.85546875" style="168"/>
    <col min="9982" max="9982" width="14.42578125" style="168" customWidth="1"/>
    <col min="9983" max="10232" width="8.85546875" style="168"/>
    <col min="10233" max="10233" width="4.85546875" style="168" bestFit="1" customWidth="1"/>
    <col min="10234" max="10234" width="33.85546875" style="168" customWidth="1"/>
    <col min="10235" max="10237" width="8.85546875" style="168"/>
    <col min="10238" max="10238" width="14.42578125" style="168" customWidth="1"/>
    <col min="10239" max="10488" width="8.85546875" style="168"/>
    <col min="10489" max="10489" width="4.85546875" style="168" bestFit="1" customWidth="1"/>
    <col min="10490" max="10490" width="33.85546875" style="168" customWidth="1"/>
    <col min="10491" max="10493" width="8.85546875" style="168"/>
    <col min="10494" max="10494" width="14.42578125" style="168" customWidth="1"/>
    <col min="10495" max="10744" width="8.85546875" style="168"/>
    <col min="10745" max="10745" width="4.85546875" style="168" bestFit="1" customWidth="1"/>
    <col min="10746" max="10746" width="33.85546875" style="168" customWidth="1"/>
    <col min="10747" max="10749" width="8.85546875" style="168"/>
    <col min="10750" max="10750" width="14.42578125" style="168" customWidth="1"/>
    <col min="10751" max="11000" width="8.85546875" style="168"/>
    <col min="11001" max="11001" width="4.85546875" style="168" bestFit="1" customWidth="1"/>
    <col min="11002" max="11002" width="33.85546875" style="168" customWidth="1"/>
    <col min="11003" max="11005" width="8.85546875" style="168"/>
    <col min="11006" max="11006" width="14.42578125" style="168" customWidth="1"/>
    <col min="11007" max="11256" width="8.85546875" style="168"/>
    <col min="11257" max="11257" width="4.85546875" style="168" bestFit="1" customWidth="1"/>
    <col min="11258" max="11258" width="33.85546875" style="168" customWidth="1"/>
    <col min="11259" max="11261" width="8.85546875" style="168"/>
    <col min="11262" max="11262" width="14.42578125" style="168" customWidth="1"/>
    <col min="11263" max="11512" width="8.85546875" style="168"/>
    <col min="11513" max="11513" width="4.85546875" style="168" bestFit="1" customWidth="1"/>
    <col min="11514" max="11514" width="33.85546875" style="168" customWidth="1"/>
    <col min="11515" max="11517" width="8.85546875" style="168"/>
    <col min="11518" max="11518" width="14.42578125" style="168" customWidth="1"/>
    <col min="11519" max="11768" width="8.85546875" style="168"/>
    <col min="11769" max="11769" width="4.85546875" style="168" bestFit="1" customWidth="1"/>
    <col min="11770" max="11770" width="33.85546875" style="168" customWidth="1"/>
    <col min="11771" max="11773" width="8.85546875" style="168"/>
    <col min="11774" max="11774" width="14.42578125" style="168" customWidth="1"/>
    <col min="11775" max="12024" width="8.85546875" style="168"/>
    <col min="12025" max="12025" width="4.85546875" style="168" bestFit="1" customWidth="1"/>
    <col min="12026" max="12026" width="33.85546875" style="168" customWidth="1"/>
    <col min="12027" max="12029" width="8.85546875" style="168"/>
    <col min="12030" max="12030" width="14.42578125" style="168" customWidth="1"/>
    <col min="12031" max="12280" width="8.85546875" style="168"/>
    <col min="12281" max="12281" width="4.85546875" style="168" bestFit="1" customWidth="1"/>
    <col min="12282" max="12282" width="33.85546875" style="168" customWidth="1"/>
    <col min="12283" max="12285" width="8.85546875" style="168"/>
    <col min="12286" max="12286" width="14.42578125" style="168" customWidth="1"/>
    <col min="12287" max="12536" width="8.85546875" style="168"/>
    <col min="12537" max="12537" width="4.85546875" style="168" bestFit="1" customWidth="1"/>
    <col min="12538" max="12538" width="33.85546875" style="168" customWidth="1"/>
    <col min="12539" max="12541" width="8.85546875" style="168"/>
    <col min="12542" max="12542" width="14.42578125" style="168" customWidth="1"/>
    <col min="12543" max="12792" width="8.85546875" style="168"/>
    <col min="12793" max="12793" width="4.85546875" style="168" bestFit="1" customWidth="1"/>
    <col min="12794" max="12794" width="33.85546875" style="168" customWidth="1"/>
    <col min="12795" max="12797" width="8.85546875" style="168"/>
    <col min="12798" max="12798" width="14.42578125" style="168" customWidth="1"/>
    <col min="12799" max="13048" width="8.85546875" style="168"/>
    <col min="13049" max="13049" width="4.85546875" style="168" bestFit="1" customWidth="1"/>
    <col min="13050" max="13050" width="33.85546875" style="168" customWidth="1"/>
    <col min="13051" max="13053" width="8.85546875" style="168"/>
    <col min="13054" max="13054" width="14.42578125" style="168" customWidth="1"/>
    <col min="13055" max="13304" width="8.85546875" style="168"/>
    <col min="13305" max="13305" width="4.85546875" style="168" bestFit="1" customWidth="1"/>
    <col min="13306" max="13306" width="33.85546875" style="168" customWidth="1"/>
    <col min="13307" max="13309" width="8.85546875" style="168"/>
    <col min="13310" max="13310" width="14.42578125" style="168" customWidth="1"/>
    <col min="13311" max="13560" width="8.85546875" style="168"/>
    <col min="13561" max="13561" width="4.85546875" style="168" bestFit="1" customWidth="1"/>
    <col min="13562" max="13562" width="33.85546875" style="168" customWidth="1"/>
    <col min="13563" max="13565" width="8.85546875" style="168"/>
    <col min="13566" max="13566" width="14.42578125" style="168" customWidth="1"/>
    <col min="13567" max="13816" width="8.85546875" style="168"/>
    <col min="13817" max="13817" width="4.85546875" style="168" bestFit="1" customWidth="1"/>
    <col min="13818" max="13818" width="33.85546875" style="168" customWidth="1"/>
    <col min="13819" max="13821" width="8.85546875" style="168"/>
    <col min="13822" max="13822" width="14.42578125" style="168" customWidth="1"/>
    <col min="13823" max="14072" width="8.85546875" style="168"/>
    <col min="14073" max="14073" width="4.85546875" style="168" bestFit="1" customWidth="1"/>
    <col min="14074" max="14074" width="33.85546875" style="168" customWidth="1"/>
    <col min="14075" max="14077" width="8.85546875" style="168"/>
    <col min="14078" max="14078" width="14.42578125" style="168" customWidth="1"/>
    <col min="14079" max="14328" width="8.85546875" style="168"/>
    <col min="14329" max="14329" width="4.85546875" style="168" bestFit="1" customWidth="1"/>
    <col min="14330" max="14330" width="33.85546875" style="168" customWidth="1"/>
    <col min="14331" max="14333" width="8.85546875" style="168"/>
    <col min="14334" max="14334" width="14.42578125" style="168" customWidth="1"/>
    <col min="14335" max="14584" width="8.85546875" style="168"/>
    <col min="14585" max="14585" width="4.85546875" style="168" bestFit="1" customWidth="1"/>
    <col min="14586" max="14586" width="33.85546875" style="168" customWidth="1"/>
    <col min="14587" max="14589" width="8.85546875" style="168"/>
    <col min="14590" max="14590" width="14.42578125" style="168" customWidth="1"/>
    <col min="14591" max="14840" width="8.85546875" style="168"/>
    <col min="14841" max="14841" width="4.85546875" style="168" bestFit="1" customWidth="1"/>
    <col min="14842" max="14842" width="33.85546875" style="168" customWidth="1"/>
    <col min="14843" max="14845" width="8.85546875" style="168"/>
    <col min="14846" max="14846" width="14.42578125" style="168" customWidth="1"/>
    <col min="14847" max="15096" width="8.85546875" style="168"/>
    <col min="15097" max="15097" width="4.85546875" style="168" bestFit="1" customWidth="1"/>
    <col min="15098" max="15098" width="33.85546875" style="168" customWidth="1"/>
    <col min="15099" max="15101" width="8.85546875" style="168"/>
    <col min="15102" max="15102" width="14.42578125" style="168" customWidth="1"/>
    <col min="15103" max="15352" width="8.85546875" style="168"/>
    <col min="15353" max="15353" width="4.85546875" style="168" bestFit="1" customWidth="1"/>
    <col min="15354" max="15354" width="33.85546875" style="168" customWidth="1"/>
    <col min="15355" max="15357" width="8.85546875" style="168"/>
    <col min="15358" max="15358" width="14.42578125" style="168" customWidth="1"/>
    <col min="15359" max="15608" width="8.85546875" style="168"/>
    <col min="15609" max="15609" width="4.85546875" style="168" bestFit="1" customWidth="1"/>
    <col min="15610" max="15610" width="33.85546875" style="168" customWidth="1"/>
    <col min="15611" max="15613" width="8.85546875" style="168"/>
    <col min="15614" max="15614" width="14.42578125" style="168" customWidth="1"/>
    <col min="15615" max="15864" width="8.85546875" style="168"/>
    <col min="15865" max="15865" width="4.85546875" style="168" bestFit="1" customWidth="1"/>
    <col min="15866" max="15866" width="33.85546875" style="168" customWidth="1"/>
    <col min="15867" max="15869" width="8.85546875" style="168"/>
    <col min="15870" max="15870" width="14.42578125" style="168" customWidth="1"/>
    <col min="15871" max="16120" width="8.85546875" style="168"/>
    <col min="16121" max="16121" width="4.85546875" style="168" bestFit="1" customWidth="1"/>
    <col min="16122" max="16122" width="33.85546875" style="168" customWidth="1"/>
    <col min="16123" max="16125" width="8.85546875" style="168"/>
    <col min="16126" max="16126" width="14.42578125" style="168" customWidth="1"/>
    <col min="16127" max="16384" width="8.85546875" style="168"/>
  </cols>
  <sheetData>
    <row r="2" spans="1:2" s="166" customFormat="1" ht="15.75">
      <c r="A2" s="165" t="s">
        <v>4275</v>
      </c>
    </row>
    <row r="3" spans="1:2" s="166" customFormat="1" ht="15.75">
      <c r="A3" s="165"/>
    </row>
    <row r="4" spans="1:2" s="166" customFormat="1" ht="15.95" customHeight="1">
      <c r="A4" s="167"/>
    </row>
    <row r="5" spans="1:2" ht="60">
      <c r="A5" s="167" t="s">
        <v>4276</v>
      </c>
    </row>
    <row r="6" spans="1:2" ht="75">
      <c r="A6" s="169" t="s">
        <v>4277</v>
      </c>
      <c r="B6" s="170"/>
    </row>
    <row r="7" spans="1:2" s="172" customFormat="1" ht="30">
      <c r="A7" s="169" t="s">
        <v>4278</v>
      </c>
      <c r="B7" s="171"/>
    </row>
    <row r="8" spans="1:2" ht="90">
      <c r="A8" s="167" t="s">
        <v>4279</v>
      </c>
      <c r="B8" s="170"/>
    </row>
    <row r="9" spans="1:2" ht="60">
      <c r="A9" s="167" t="s">
        <v>4280</v>
      </c>
      <c r="B9" s="170"/>
    </row>
    <row r="10" spans="1:2" ht="45">
      <c r="A10" s="167" t="s">
        <v>4281</v>
      </c>
      <c r="B10" s="170"/>
    </row>
    <row r="11" spans="1:2" ht="30">
      <c r="A11" s="167" t="s">
        <v>4282</v>
      </c>
      <c r="B11" s="170"/>
    </row>
    <row r="12" spans="1:2" ht="15.75">
      <c r="A12" s="167" t="s">
        <v>4283</v>
      </c>
      <c r="B12" s="170"/>
    </row>
    <row r="13" spans="1:2" ht="108.75" customHeight="1">
      <c r="A13" s="167" t="s">
        <v>4284</v>
      </c>
      <c r="B13" s="170"/>
    </row>
    <row r="14" spans="1:2" ht="370.5" customHeight="1">
      <c r="A14" s="173" t="s">
        <v>4285</v>
      </c>
      <c r="B14" s="170"/>
    </row>
    <row r="15" spans="1:2" ht="251.25" customHeight="1">
      <c r="A15" s="173" t="s">
        <v>4286</v>
      </c>
      <c r="B15" s="170"/>
    </row>
    <row r="16" spans="1:2" ht="30">
      <c r="A16" s="167" t="s">
        <v>4287</v>
      </c>
    </row>
    <row r="17" spans="1:2" ht="30">
      <c r="A17" s="167" t="s">
        <v>4288</v>
      </c>
    </row>
    <row r="18" spans="1:2" ht="30">
      <c r="A18" s="167" t="s">
        <v>4289</v>
      </c>
    </row>
    <row r="19" spans="1:2" ht="345.75">
      <c r="A19" s="167" t="s">
        <v>4290</v>
      </c>
      <c r="B19" s="174"/>
    </row>
    <row r="20" spans="1:2" s="172" customFormat="1" ht="75">
      <c r="A20" s="167" t="s">
        <v>4291</v>
      </c>
    </row>
    <row r="21" spans="1:2" ht="30">
      <c r="A21" s="167" t="s">
        <v>4292</v>
      </c>
    </row>
    <row r="22" spans="1:2">
      <c r="A22" s="167" t="s">
        <v>4293</v>
      </c>
    </row>
    <row r="23" spans="1:2" ht="30">
      <c r="A23" s="167" t="s">
        <v>4294</v>
      </c>
    </row>
    <row r="24" spans="1:2" ht="109.5" customHeight="1">
      <c r="A24" s="173" t="s">
        <v>4295</v>
      </c>
    </row>
    <row r="25" spans="1:2" ht="30.95" customHeight="1">
      <c r="A25" s="167" t="s">
        <v>4296</v>
      </c>
    </row>
    <row r="26" spans="1:2" ht="60">
      <c r="A26" s="167" t="s">
        <v>4297</v>
      </c>
      <c r="B26" s="170"/>
    </row>
    <row r="27" spans="1:2" ht="30">
      <c r="A27" s="167" t="s">
        <v>4298</v>
      </c>
      <c r="B27" s="170"/>
    </row>
    <row r="28" spans="1:2" ht="30">
      <c r="A28" s="167" t="s">
        <v>4299</v>
      </c>
      <c r="B28" s="170"/>
    </row>
    <row r="29" spans="1:2" ht="45">
      <c r="A29" s="167" t="s">
        <v>4300</v>
      </c>
      <c r="B29" s="170"/>
    </row>
    <row r="30" spans="1:2" ht="45">
      <c r="A30" s="167" t="s">
        <v>4301</v>
      </c>
    </row>
    <row r="31" spans="1:2" ht="45">
      <c r="A31" s="167" t="s">
        <v>4302</v>
      </c>
    </row>
    <row r="32" spans="1:2" ht="30">
      <c r="A32" s="167" t="s">
        <v>4303</v>
      </c>
    </row>
    <row r="33" spans="1:2" ht="30">
      <c r="A33" s="167" t="s">
        <v>4304</v>
      </c>
      <c r="B33" s="170"/>
    </row>
    <row r="34" spans="1:2" ht="30">
      <c r="A34" s="167" t="s">
        <v>4305</v>
      </c>
      <c r="B34" s="170"/>
    </row>
    <row r="35" spans="1:2" ht="15.75" hidden="1">
      <c r="B35" s="170"/>
    </row>
    <row r="36" spans="1:2" ht="30">
      <c r="A36" s="167" t="s">
        <v>4306</v>
      </c>
      <c r="B36" s="170"/>
    </row>
    <row r="37" spans="1:2" ht="73.5" customHeight="1">
      <c r="A37" s="167" t="s">
        <v>4307</v>
      </c>
      <c r="B37" s="170"/>
    </row>
    <row r="38" spans="1:2" ht="30">
      <c r="A38" s="167" t="s">
        <v>4308</v>
      </c>
    </row>
    <row r="39" spans="1:2" ht="45">
      <c r="A39" s="167" t="s">
        <v>4309</v>
      </c>
    </row>
    <row r="41" spans="1:2">
      <c r="A41" s="175" t="s">
        <v>4310</v>
      </c>
    </row>
    <row r="43" spans="1:2" ht="30">
      <c r="A43" s="167" t="s">
        <v>4311</v>
      </c>
    </row>
    <row r="44" spans="1:2" ht="45">
      <c r="A44" s="167" t="s">
        <v>4312</v>
      </c>
    </row>
    <row r="46" spans="1:2">
      <c r="A46" s="175" t="s">
        <v>4313</v>
      </c>
    </row>
    <row r="48" spans="1:2" ht="30">
      <c r="A48" s="167" t="s">
        <v>4314</v>
      </c>
    </row>
    <row r="49" spans="1:7" ht="30">
      <c r="A49" s="167" t="s">
        <v>4315</v>
      </c>
    </row>
    <row r="50" spans="1:7" ht="60">
      <c r="A50" s="167" t="s">
        <v>4316</v>
      </c>
    </row>
    <row r="51" spans="1:7" ht="30">
      <c r="A51" s="167" t="s">
        <v>4317</v>
      </c>
    </row>
    <row r="52" spans="1:7" ht="60">
      <c r="A52" s="167" t="s">
        <v>4318</v>
      </c>
    </row>
    <row r="53" spans="1:7" ht="127.5" customHeight="1">
      <c r="A53" s="167" t="s">
        <v>4319</v>
      </c>
      <c r="G53" s="170"/>
    </row>
    <row r="55" spans="1:7">
      <c r="A55" s="175" t="s">
        <v>88</v>
      </c>
    </row>
    <row r="57" spans="1:7" ht="30">
      <c r="A57" s="167" t="s">
        <v>4320</v>
      </c>
    </row>
    <row r="58" spans="1:7" ht="30">
      <c r="A58" s="167" t="s">
        <v>4321</v>
      </c>
    </row>
    <row r="59" spans="1:7" ht="45">
      <c r="A59" s="167" t="s">
        <v>4322</v>
      </c>
    </row>
    <row r="60" spans="1:7" ht="45">
      <c r="A60" s="167" t="s">
        <v>4323</v>
      </c>
    </row>
    <row r="61" spans="1:7" ht="75">
      <c r="A61" s="167" t="s">
        <v>4324</v>
      </c>
    </row>
    <row r="62" spans="1:7" ht="30">
      <c r="A62" s="167" t="s">
        <v>4325</v>
      </c>
    </row>
    <row r="63" spans="1:7">
      <c r="A63" s="167" t="s">
        <v>4326</v>
      </c>
    </row>
    <row r="64" spans="1:7" ht="30">
      <c r="A64" s="167" t="s">
        <v>4327</v>
      </c>
    </row>
    <row r="66" spans="1:1">
      <c r="A66" s="175" t="s">
        <v>81</v>
      </c>
    </row>
    <row r="68" spans="1:1" ht="30">
      <c r="A68" s="167" t="s">
        <v>4328</v>
      </c>
    </row>
    <row r="69" spans="1:1" ht="30">
      <c r="A69" s="167" t="s">
        <v>4329</v>
      </c>
    </row>
    <row r="70" spans="1:1" ht="45">
      <c r="A70" s="167" t="s">
        <v>4330</v>
      </c>
    </row>
    <row r="71" spans="1:1" ht="30">
      <c r="A71" s="167" t="s">
        <v>4331</v>
      </c>
    </row>
    <row r="72" spans="1:1" ht="45">
      <c r="A72" s="167" t="s">
        <v>4332</v>
      </c>
    </row>
    <row r="73" spans="1:1" ht="60">
      <c r="A73" s="167" t="s">
        <v>4333</v>
      </c>
    </row>
    <row r="74" spans="1:1" ht="45">
      <c r="A74" s="167" t="s">
        <v>4334</v>
      </c>
    </row>
    <row r="75" spans="1:1" ht="30">
      <c r="A75" s="167" t="s">
        <v>4335</v>
      </c>
    </row>
    <row r="76" spans="1:1" ht="30">
      <c r="A76" s="167" t="s">
        <v>4336</v>
      </c>
    </row>
    <row r="77" spans="1:1" ht="30">
      <c r="A77" s="167" t="s">
        <v>4337</v>
      </c>
    </row>
    <row r="78" spans="1:1" ht="75">
      <c r="A78" s="167" t="s">
        <v>4338</v>
      </c>
    </row>
    <row r="79" spans="1:1" ht="45">
      <c r="A79" s="167" t="s">
        <v>4339</v>
      </c>
    </row>
    <row r="80" spans="1:1" ht="30">
      <c r="A80" s="167" t="s">
        <v>4340</v>
      </c>
    </row>
    <row r="81" spans="1:1" ht="30">
      <c r="A81" s="167" t="s">
        <v>4341</v>
      </c>
    </row>
    <row r="82" spans="1:1">
      <c r="A82" s="167" t="s">
        <v>4342</v>
      </c>
    </row>
    <row r="83" spans="1:1" ht="30">
      <c r="A83" s="167" t="s">
        <v>4343</v>
      </c>
    </row>
    <row r="84" spans="1:1" ht="60">
      <c r="A84" s="167" t="s">
        <v>4344</v>
      </c>
    </row>
    <row r="85" spans="1:1" ht="75">
      <c r="A85" s="167" t="s">
        <v>4345</v>
      </c>
    </row>
    <row r="86" spans="1:1" ht="30">
      <c r="A86" s="167" t="s">
        <v>4346</v>
      </c>
    </row>
    <row r="87" spans="1:1" ht="30">
      <c r="A87" s="167" t="s">
        <v>4347</v>
      </c>
    </row>
    <row r="88" spans="1:1" ht="30">
      <c r="A88" s="167" t="s">
        <v>4348</v>
      </c>
    </row>
    <row r="89" spans="1:1" ht="75">
      <c r="A89" s="167" t="s">
        <v>4349</v>
      </c>
    </row>
    <row r="90" spans="1:1" ht="90">
      <c r="A90" s="167" t="s">
        <v>4350</v>
      </c>
    </row>
    <row r="91" spans="1:1" ht="45">
      <c r="A91" s="167" t="s">
        <v>4351</v>
      </c>
    </row>
    <row r="92" spans="1:1" ht="30">
      <c r="A92" s="167" t="s">
        <v>4352</v>
      </c>
    </row>
    <row r="93" spans="1:1" ht="60">
      <c r="A93" s="167" t="s">
        <v>4353</v>
      </c>
    </row>
    <row r="94" spans="1:1">
      <c r="A94" s="167" t="s">
        <v>4354</v>
      </c>
    </row>
    <row r="95" spans="1:1" ht="30">
      <c r="A95" s="167" t="s">
        <v>4355</v>
      </c>
    </row>
    <row r="96" spans="1:1" ht="30">
      <c r="A96" s="167" t="s">
        <v>4356</v>
      </c>
    </row>
    <row r="97" spans="1:1" ht="30">
      <c r="A97" s="167" t="s">
        <v>4357</v>
      </c>
    </row>
    <row r="98" spans="1:1" ht="75">
      <c r="A98" s="167" t="s">
        <v>4358</v>
      </c>
    </row>
    <row r="99" spans="1:1" ht="60">
      <c r="A99" s="167" t="s">
        <v>4359</v>
      </c>
    </row>
    <row r="100" spans="1:1" ht="45">
      <c r="A100" s="167" t="s">
        <v>4360</v>
      </c>
    </row>
    <row r="101" spans="1:1" ht="45">
      <c r="A101" s="167" t="s">
        <v>4361</v>
      </c>
    </row>
    <row r="102" spans="1:1" ht="60">
      <c r="A102" s="167" t="s">
        <v>4362</v>
      </c>
    </row>
    <row r="103" spans="1:1" ht="60">
      <c r="A103" s="167" t="s">
        <v>4363</v>
      </c>
    </row>
    <row r="104" spans="1:1">
      <c r="A104" s="167" t="s">
        <v>4364</v>
      </c>
    </row>
    <row r="105" spans="1:1">
      <c r="A105" s="167" t="s">
        <v>4365</v>
      </c>
    </row>
    <row r="106" spans="1:1">
      <c r="A106" s="167" t="s">
        <v>4366</v>
      </c>
    </row>
    <row r="107" spans="1:1">
      <c r="A107" s="167" t="s">
        <v>4367</v>
      </c>
    </row>
    <row r="108" spans="1:1">
      <c r="A108" s="167" t="s">
        <v>4368</v>
      </c>
    </row>
    <row r="109" spans="1:1" ht="30">
      <c r="A109" s="167" t="s">
        <v>4369</v>
      </c>
    </row>
    <row r="110" spans="1:1" ht="45">
      <c r="A110" s="167" t="s">
        <v>4370</v>
      </c>
    </row>
    <row r="111" spans="1:1">
      <c r="A111" s="167" t="s">
        <v>4371</v>
      </c>
    </row>
    <row r="112" spans="1:1">
      <c r="A112" s="167" t="s">
        <v>4372</v>
      </c>
    </row>
    <row r="113" spans="1:1" ht="30">
      <c r="A113" s="167" t="s">
        <v>4373</v>
      </c>
    </row>
    <row r="114" spans="1:1" ht="30">
      <c r="A114" s="167" t="s">
        <v>4374</v>
      </c>
    </row>
    <row r="115" spans="1:1">
      <c r="A115" s="167" t="s">
        <v>4375</v>
      </c>
    </row>
    <row r="117" spans="1:1">
      <c r="A117" s="175" t="s">
        <v>70</v>
      </c>
    </row>
    <row r="119" spans="1:1" ht="30">
      <c r="A119" s="167" t="s">
        <v>4376</v>
      </c>
    </row>
    <row r="120" spans="1:1" ht="30">
      <c r="A120" s="167" t="s">
        <v>4377</v>
      </c>
    </row>
    <row r="121" spans="1:1" ht="45">
      <c r="A121" s="167" t="s">
        <v>4378</v>
      </c>
    </row>
    <row r="122" spans="1:1" ht="60">
      <c r="A122" s="167" t="s">
        <v>4379</v>
      </c>
    </row>
    <row r="123" spans="1:1" ht="30">
      <c r="A123" s="167" t="s">
        <v>4380</v>
      </c>
    </row>
    <row r="124" spans="1:1" ht="30">
      <c r="A124" s="167" t="s">
        <v>4381</v>
      </c>
    </row>
    <row r="125" spans="1:1" ht="30">
      <c r="A125" s="167" t="s">
        <v>4382</v>
      </c>
    </row>
    <row r="126" spans="1:1" ht="30">
      <c r="A126" s="167" t="s">
        <v>4383</v>
      </c>
    </row>
    <row r="127" spans="1:1" ht="60">
      <c r="A127" s="167" t="s">
        <v>4384</v>
      </c>
    </row>
    <row r="128" spans="1:1" ht="75">
      <c r="A128" s="167" t="s">
        <v>4385</v>
      </c>
    </row>
    <row r="129" spans="1:1">
      <c r="A129" s="167" t="s">
        <v>4386</v>
      </c>
    </row>
    <row r="131" spans="1:1">
      <c r="A131" s="176" t="s">
        <v>67</v>
      </c>
    </row>
    <row r="133" spans="1:1" ht="45">
      <c r="A133" s="167" t="s">
        <v>4387</v>
      </c>
    </row>
    <row r="134" spans="1:1" ht="45">
      <c r="A134" s="167" t="s">
        <v>4388</v>
      </c>
    </row>
    <row r="135" spans="1:1" ht="45">
      <c r="A135" s="167" t="s">
        <v>4389</v>
      </c>
    </row>
    <row r="136" spans="1:1">
      <c r="A136" s="167" t="s">
        <v>4390</v>
      </c>
    </row>
    <row r="137" spans="1:1" ht="30">
      <c r="A137" s="167" t="s">
        <v>4391</v>
      </c>
    </row>
    <row r="138" spans="1:1">
      <c r="A138" s="167" t="s">
        <v>4392</v>
      </c>
    </row>
    <row r="139" spans="1:1" ht="30">
      <c r="A139" s="167" t="s">
        <v>4393</v>
      </c>
    </row>
    <row r="140" spans="1:1">
      <c r="A140" s="167" t="s">
        <v>4394</v>
      </c>
    </row>
    <row r="141" spans="1:1" ht="30">
      <c r="A141" s="167" t="s">
        <v>4395</v>
      </c>
    </row>
    <row r="142" spans="1:1" ht="45">
      <c r="A142" s="167" t="s">
        <v>4396</v>
      </c>
    </row>
    <row r="143" spans="1:1" ht="45">
      <c r="A143" s="167" t="s">
        <v>4397</v>
      </c>
    </row>
    <row r="144" spans="1:1" ht="30">
      <c r="A144" s="167" t="s">
        <v>4398</v>
      </c>
    </row>
    <row r="145" spans="1:1" ht="75">
      <c r="A145" s="167" t="s">
        <v>4399</v>
      </c>
    </row>
    <row r="146" spans="1:1">
      <c r="A146" s="167" t="s">
        <v>4400</v>
      </c>
    </row>
    <row r="147" spans="1:1">
      <c r="A147" s="167" t="s">
        <v>4401</v>
      </c>
    </row>
    <row r="148" spans="1:1">
      <c r="A148" s="167" t="s">
        <v>4402</v>
      </c>
    </row>
    <row r="149" spans="1:1" ht="45">
      <c r="A149" s="167" t="s">
        <v>4403</v>
      </c>
    </row>
    <row r="150" spans="1:1" ht="75">
      <c r="A150" s="167" t="s">
        <v>4404</v>
      </c>
    </row>
    <row r="152" spans="1:1">
      <c r="A152" s="167" t="s">
        <v>4405</v>
      </c>
    </row>
    <row r="153" spans="1:1" ht="30">
      <c r="A153" s="167" t="s">
        <v>4406</v>
      </c>
    </row>
    <row r="154" spans="1:1" ht="30">
      <c r="A154" s="167" t="s">
        <v>4407</v>
      </c>
    </row>
    <row r="155" spans="1:1" ht="60">
      <c r="A155" s="167" t="s">
        <v>4408</v>
      </c>
    </row>
    <row r="157" spans="1:1">
      <c r="A157" s="167" t="s">
        <v>2096</v>
      </c>
    </row>
    <row r="158" spans="1:1" ht="75">
      <c r="A158" s="167" t="s">
        <v>4409</v>
      </c>
    </row>
    <row r="159" spans="1:1" ht="75">
      <c r="A159" s="167" t="s">
        <v>4410</v>
      </c>
    </row>
    <row r="160" spans="1:1">
      <c r="A160" s="167" t="s">
        <v>4411</v>
      </c>
    </row>
    <row r="162" spans="1:1">
      <c r="A162" s="167" t="s">
        <v>4412</v>
      </c>
    </row>
    <row r="163" spans="1:1" ht="45">
      <c r="A163" s="167" t="s">
        <v>4413</v>
      </c>
    </row>
    <row r="164" spans="1:1">
      <c r="A164" s="167" t="s">
        <v>4414</v>
      </c>
    </row>
    <row r="165" spans="1:1">
      <c r="A165" s="167" t="s">
        <v>4415</v>
      </c>
    </row>
    <row r="166" spans="1:1" ht="30">
      <c r="A166" s="167" t="s">
        <v>4416</v>
      </c>
    </row>
    <row r="167" spans="1:1" ht="30">
      <c r="A167" s="167" t="s">
        <v>4417</v>
      </c>
    </row>
    <row r="168" spans="1:1" ht="45">
      <c r="A168" s="167" t="s">
        <v>4418</v>
      </c>
    </row>
    <row r="169" spans="1:1" ht="30">
      <c r="A169" s="167" t="s">
        <v>4419</v>
      </c>
    </row>
    <row r="170" spans="1:1" ht="30">
      <c r="A170" s="167" t="s">
        <v>4420</v>
      </c>
    </row>
    <row r="171" spans="1:1">
      <c r="A171" s="167" t="s">
        <v>4421</v>
      </c>
    </row>
    <row r="172" spans="1:1" ht="105">
      <c r="A172" s="167" t="s">
        <v>4422</v>
      </c>
    </row>
    <row r="174" spans="1:1">
      <c r="A174" s="175" t="s">
        <v>50</v>
      </c>
    </row>
    <row r="176" spans="1:1" ht="30">
      <c r="A176" s="167" t="s">
        <v>4423</v>
      </c>
    </row>
    <row r="178" spans="1:1">
      <c r="A178" s="176" t="s">
        <v>47</v>
      </c>
    </row>
    <row r="180" spans="1:1" ht="45.75" customHeight="1">
      <c r="A180" s="167" t="s">
        <v>4424</v>
      </c>
    </row>
    <row r="181" spans="1:1" ht="60">
      <c r="A181" s="167" t="s">
        <v>4425</v>
      </c>
    </row>
    <row r="182" spans="1:1" ht="30">
      <c r="A182" s="167" t="s">
        <v>4426</v>
      </c>
    </row>
    <row r="183" spans="1:1" ht="45">
      <c r="A183" s="167" t="s">
        <v>4427</v>
      </c>
    </row>
    <row r="184" spans="1:1" ht="30">
      <c r="A184" s="167" t="s">
        <v>4428</v>
      </c>
    </row>
    <row r="185" spans="1:1" ht="30">
      <c r="A185" s="167" t="s">
        <v>4429</v>
      </c>
    </row>
    <row r="186" spans="1:1" ht="30">
      <c r="A186" s="167" t="s">
        <v>4430</v>
      </c>
    </row>
    <row r="187" spans="1:1" ht="30">
      <c r="A187" s="167" t="s">
        <v>4431</v>
      </c>
    </row>
    <row r="188" spans="1:1" ht="30">
      <c r="A188" s="167" t="s">
        <v>4432</v>
      </c>
    </row>
    <row r="189" spans="1:1" ht="30">
      <c r="A189" s="167" t="s">
        <v>4433</v>
      </c>
    </row>
    <row r="190" spans="1:1" ht="30">
      <c r="A190" s="167" t="s">
        <v>4434</v>
      </c>
    </row>
    <row r="191" spans="1:1" ht="45">
      <c r="A191" s="167" t="s">
        <v>4435</v>
      </c>
    </row>
    <row r="193" spans="1:1">
      <c r="A193" s="167" t="s">
        <v>4436</v>
      </c>
    </row>
    <row r="195" spans="1:1" ht="45">
      <c r="A195" s="167" t="s">
        <v>4437</v>
      </c>
    </row>
    <row r="196" spans="1:1" ht="60">
      <c r="A196" s="167" t="s">
        <v>4438</v>
      </c>
    </row>
    <row r="197" spans="1:1" ht="60">
      <c r="A197" s="167" t="s">
        <v>4439</v>
      </c>
    </row>
    <row r="198" spans="1:1" ht="30">
      <c r="A198" s="167" t="s">
        <v>4440</v>
      </c>
    </row>
    <row r="200" spans="1:1">
      <c r="A200" s="167" t="s">
        <v>4441</v>
      </c>
    </row>
    <row r="202" spans="1:1">
      <c r="A202" s="167" t="s">
        <v>4442</v>
      </c>
    </row>
    <row r="203" spans="1:1">
      <c r="A203" s="167" t="s">
        <v>4443</v>
      </c>
    </row>
    <row r="204" spans="1:1" ht="45">
      <c r="A204" s="167" t="s">
        <v>4444</v>
      </c>
    </row>
    <row r="205" spans="1:1">
      <c r="A205" s="167" t="s">
        <v>4445</v>
      </c>
    </row>
    <row r="206" spans="1:1" ht="45">
      <c r="A206" s="167" t="s">
        <v>4446</v>
      </c>
    </row>
    <row r="208" spans="1:1">
      <c r="A208" s="175" t="s">
        <v>4447</v>
      </c>
    </row>
    <row r="210" spans="1:1" ht="30">
      <c r="A210" s="167" t="s">
        <v>4448</v>
      </c>
    </row>
    <row r="211" spans="1:1" ht="60">
      <c r="A211" s="167" t="s">
        <v>4449</v>
      </c>
    </row>
    <row r="212" spans="1:1" ht="30">
      <c r="A212" s="167" t="s">
        <v>4450</v>
      </c>
    </row>
    <row r="213" spans="1:1" ht="45">
      <c r="A213" s="167" t="s">
        <v>4451</v>
      </c>
    </row>
    <row r="214" spans="1:1">
      <c r="A214" s="167" t="s">
        <v>4452</v>
      </c>
    </row>
    <row r="215" spans="1:1" ht="45">
      <c r="A215" s="167" t="s">
        <v>4453</v>
      </c>
    </row>
    <row r="216" spans="1:1" ht="45">
      <c r="A216" s="167" t="s">
        <v>4454</v>
      </c>
    </row>
    <row r="217" spans="1:1" ht="45">
      <c r="A217" s="167" t="s">
        <v>4455</v>
      </c>
    </row>
    <row r="218" spans="1:1" ht="30">
      <c r="A218" s="167" t="s">
        <v>4456</v>
      </c>
    </row>
    <row r="219" spans="1:1" ht="30">
      <c r="A219" s="167" t="s">
        <v>4457</v>
      </c>
    </row>
    <row r="220" spans="1:1" ht="30">
      <c r="A220" s="167" t="s">
        <v>4458</v>
      </c>
    </row>
    <row r="222" spans="1:1">
      <c r="A222" s="175" t="s">
        <v>4459</v>
      </c>
    </row>
    <row r="224" spans="1:1" ht="30">
      <c r="A224" s="167" t="s">
        <v>4460</v>
      </c>
    </row>
    <row r="225" spans="1:1" ht="120">
      <c r="A225" s="167" t="s">
        <v>4461</v>
      </c>
    </row>
    <row r="226" spans="1:1" ht="75">
      <c r="A226" s="167" t="s">
        <v>4462</v>
      </c>
    </row>
    <row r="227" spans="1:1" ht="30">
      <c r="A227" s="167" t="s">
        <v>4463</v>
      </c>
    </row>
    <row r="228" spans="1:1" ht="45">
      <c r="A228" s="167" t="s">
        <v>4464</v>
      </c>
    </row>
    <row r="229" spans="1:1" ht="60">
      <c r="A229" s="167" t="s">
        <v>4465</v>
      </c>
    </row>
    <row r="230" spans="1:1" ht="30">
      <c r="A230" s="167" t="s">
        <v>4466</v>
      </c>
    </row>
    <row r="231" spans="1:1">
      <c r="A231" s="167" t="s">
        <v>4467</v>
      </c>
    </row>
    <row r="232" spans="1:1" ht="45">
      <c r="A232" s="167" t="s">
        <v>4468</v>
      </c>
    </row>
    <row r="233" spans="1:1">
      <c r="A233" s="167" t="s">
        <v>4469</v>
      </c>
    </row>
    <row r="234" spans="1:1" ht="255">
      <c r="A234" s="167" t="s">
        <v>4470</v>
      </c>
    </row>
    <row r="235" spans="1:1" ht="60">
      <c r="A235" s="167" t="s">
        <v>4471</v>
      </c>
    </row>
    <row r="236" spans="1:1" ht="45">
      <c r="A236" s="167" t="s">
        <v>4472</v>
      </c>
    </row>
    <row r="237" spans="1:1" ht="60">
      <c r="A237" s="167" t="s">
        <v>4473</v>
      </c>
    </row>
    <row r="238" spans="1:1">
      <c r="A238" s="167" t="s">
        <v>4474</v>
      </c>
    </row>
    <row r="239" spans="1:1" ht="30">
      <c r="A239" s="167" t="s">
        <v>4475</v>
      </c>
    </row>
    <row r="240" spans="1:1" ht="30">
      <c r="A240" s="167" t="s">
        <v>4476</v>
      </c>
    </row>
    <row r="241" spans="1:1" ht="45">
      <c r="A241" s="167" t="s">
        <v>4477</v>
      </c>
    </row>
    <row r="242" spans="1:1" ht="45">
      <c r="A242" s="167" t="s">
        <v>4478</v>
      </c>
    </row>
    <row r="243" spans="1:1">
      <c r="A243" s="167" t="s">
        <v>4479</v>
      </c>
    </row>
    <row r="244" spans="1:1" ht="30">
      <c r="A244" s="167" t="s">
        <v>4480</v>
      </c>
    </row>
    <row r="245" spans="1:1" ht="30">
      <c r="A245" s="167" t="s">
        <v>4481</v>
      </c>
    </row>
    <row r="246" spans="1:1" ht="45">
      <c r="A246" s="167" t="s">
        <v>4482</v>
      </c>
    </row>
    <row r="247" spans="1:1">
      <c r="A247" s="167" t="s">
        <v>4483</v>
      </c>
    </row>
    <row r="248" spans="1:1">
      <c r="A248" s="167" t="s">
        <v>4484</v>
      </c>
    </row>
    <row r="249" spans="1:1" ht="30">
      <c r="A249" s="167" t="s">
        <v>4485</v>
      </c>
    </row>
    <row r="250" spans="1:1" ht="30">
      <c r="A250" s="167" t="s">
        <v>4486</v>
      </c>
    </row>
    <row r="251" spans="1:1">
      <c r="A251" s="167" t="s">
        <v>4487</v>
      </c>
    </row>
    <row r="252" spans="1:1" ht="30">
      <c r="A252" s="167" t="s">
        <v>4488</v>
      </c>
    </row>
    <row r="253" spans="1:1" ht="30">
      <c r="A253" s="167" t="s">
        <v>4489</v>
      </c>
    </row>
    <row r="254" spans="1:1" ht="30">
      <c r="A254" s="167" t="s">
        <v>4490</v>
      </c>
    </row>
    <row r="255" spans="1:1" ht="135">
      <c r="A255" s="167" t="s">
        <v>4491</v>
      </c>
    </row>
    <row r="257" spans="1:1">
      <c r="A257" s="175" t="s">
        <v>4492</v>
      </c>
    </row>
    <row r="259" spans="1:1" ht="45">
      <c r="A259" s="167" t="s">
        <v>4493</v>
      </c>
    </row>
    <row r="260" spans="1:1" ht="30">
      <c r="A260" s="167" t="s">
        <v>4494</v>
      </c>
    </row>
    <row r="261" spans="1:1" ht="45">
      <c r="A261" s="167" t="s">
        <v>4495</v>
      </c>
    </row>
    <row r="262" spans="1:1" ht="30">
      <c r="A262" s="167" t="s">
        <v>4496</v>
      </c>
    </row>
    <row r="263" spans="1:1">
      <c r="A263" s="167" t="s">
        <v>4497</v>
      </c>
    </row>
    <row r="264" spans="1:1" ht="45">
      <c r="A264" s="167" t="s">
        <v>4498</v>
      </c>
    </row>
    <row r="266" spans="1:1">
      <c r="A266" s="167" t="s">
        <v>4499</v>
      </c>
    </row>
    <row r="268" spans="1:1" ht="30">
      <c r="A268" s="167" t="s">
        <v>4500</v>
      </c>
    </row>
    <row r="269" spans="1:1" ht="45">
      <c r="A269" s="167" t="s">
        <v>4501</v>
      </c>
    </row>
    <row r="271" spans="1:1">
      <c r="A271" s="175" t="s">
        <v>4502</v>
      </c>
    </row>
    <row r="273" spans="1:1" ht="30">
      <c r="A273" s="167" t="s">
        <v>4503</v>
      </c>
    </row>
    <row r="274" spans="1:1" ht="45">
      <c r="A274" s="167" t="s">
        <v>4504</v>
      </c>
    </row>
    <row r="275" spans="1:1" ht="45">
      <c r="A275" s="167" t="s">
        <v>4505</v>
      </c>
    </row>
    <row r="276" spans="1:1">
      <c r="A276" s="167" t="s">
        <v>4506</v>
      </c>
    </row>
    <row r="277" spans="1:1" ht="30">
      <c r="A277" s="167" t="s">
        <v>4507</v>
      </c>
    </row>
    <row r="278" spans="1:1">
      <c r="A278" s="167" t="s">
        <v>4508</v>
      </c>
    </row>
    <row r="279" spans="1:1">
      <c r="A279" s="167" t="s">
        <v>4509</v>
      </c>
    </row>
    <row r="280" spans="1:1" ht="30">
      <c r="A280" s="167" t="s">
        <v>4510</v>
      </c>
    </row>
    <row r="281" spans="1:1">
      <c r="A281" s="167" t="s">
        <v>4511</v>
      </c>
    </row>
    <row r="282" spans="1:1" ht="30">
      <c r="A282" s="167" t="s">
        <v>4512</v>
      </c>
    </row>
    <row r="283" spans="1:1" ht="45">
      <c r="A283" s="167" t="s">
        <v>4513</v>
      </c>
    </row>
    <row r="284" spans="1:1" ht="45">
      <c r="A284" s="167" t="s">
        <v>4514</v>
      </c>
    </row>
    <row r="285" spans="1:1" ht="30">
      <c r="A285" s="167" t="s">
        <v>4515</v>
      </c>
    </row>
    <row r="286" spans="1:1" ht="45">
      <c r="A286" s="167" t="s">
        <v>4516</v>
      </c>
    </row>
    <row r="287" spans="1:1" ht="30">
      <c r="A287" s="167" t="s">
        <v>4568</v>
      </c>
    </row>
    <row r="289" spans="1:1">
      <c r="A289" s="175" t="s">
        <v>129</v>
      </c>
    </row>
    <row r="291" spans="1:1" ht="30">
      <c r="A291" s="167" t="s">
        <v>4517</v>
      </c>
    </row>
    <row r="292" spans="1:1" ht="45">
      <c r="A292" s="167" t="s">
        <v>4518</v>
      </c>
    </row>
    <row r="293" spans="1:1">
      <c r="A293" s="167" t="s">
        <v>4519</v>
      </c>
    </row>
    <row r="294" spans="1:1" ht="30">
      <c r="A294" s="167" t="s">
        <v>4520</v>
      </c>
    </row>
    <row r="295" spans="1:1" ht="30">
      <c r="A295" s="167" t="s">
        <v>4521</v>
      </c>
    </row>
    <row r="296" spans="1:1">
      <c r="A296" s="167" t="s">
        <v>4522</v>
      </c>
    </row>
    <row r="297" spans="1:1">
      <c r="A297" s="167" t="s">
        <v>4523</v>
      </c>
    </row>
    <row r="298" spans="1:1" ht="30">
      <c r="A298" s="167" t="s">
        <v>4524</v>
      </c>
    </row>
    <row r="299" spans="1:1" ht="30">
      <c r="A299" s="167" t="s">
        <v>4525</v>
      </c>
    </row>
    <row r="300" spans="1:1" ht="30">
      <c r="A300" s="167" t="s">
        <v>4526</v>
      </c>
    </row>
    <row r="301" spans="1:1">
      <c r="A301" s="167" t="s">
        <v>4527</v>
      </c>
    </row>
    <row r="303" spans="1:1">
      <c r="A303" s="175" t="s">
        <v>4528</v>
      </c>
    </row>
    <row r="305" spans="1:1" ht="45">
      <c r="A305" s="167" t="s">
        <v>4529</v>
      </c>
    </row>
    <row r="306" spans="1:1" ht="30">
      <c r="A306" s="167" t="s">
        <v>4530</v>
      </c>
    </row>
    <row r="307" spans="1:1" ht="30">
      <c r="A307" s="167" t="s">
        <v>4531</v>
      </c>
    </row>
    <row r="308" spans="1:1" ht="30">
      <c r="A308" s="167" t="s">
        <v>4532</v>
      </c>
    </row>
    <row r="309" spans="1:1">
      <c r="A309" s="167" t="s">
        <v>4533</v>
      </c>
    </row>
    <row r="310" spans="1:1" ht="30">
      <c r="A310" s="173" t="s">
        <v>4534</v>
      </c>
    </row>
    <row r="311" spans="1:1" ht="45">
      <c r="A311" s="167" t="s">
        <v>4535</v>
      </c>
    </row>
    <row r="312" spans="1:1">
      <c r="A312" s="167" t="s">
        <v>4536</v>
      </c>
    </row>
    <row r="313" spans="1:1" ht="30">
      <c r="A313" s="167" t="s">
        <v>4537</v>
      </c>
    </row>
    <row r="314" spans="1:1">
      <c r="A314" s="167" t="s">
        <v>4538</v>
      </c>
    </row>
    <row r="315" spans="1:1" ht="45">
      <c r="A315" s="167" t="s">
        <v>4539</v>
      </c>
    </row>
    <row r="316" spans="1:1" ht="30">
      <c r="A316" s="167" t="s">
        <v>4540</v>
      </c>
    </row>
    <row r="317" spans="1:1" ht="30">
      <c r="A317" s="167" t="s">
        <v>4541</v>
      </c>
    </row>
    <row r="318" spans="1:1" ht="30">
      <c r="A318" s="167" t="s">
        <v>4542</v>
      </c>
    </row>
    <row r="319" spans="1:1" ht="45">
      <c r="A319" s="167" t="s">
        <v>4543</v>
      </c>
    </row>
    <row r="320" spans="1:1" ht="30">
      <c r="A320" s="167" t="s">
        <v>4544</v>
      </c>
    </row>
    <row r="321" spans="1:1">
      <c r="A321" s="167" t="s">
        <v>4545</v>
      </c>
    </row>
    <row r="322" spans="1:1" ht="30">
      <c r="A322" s="167" t="s">
        <v>4546</v>
      </c>
    </row>
    <row r="323" spans="1:1">
      <c r="A323" s="167" t="s">
        <v>4547</v>
      </c>
    </row>
    <row r="324" spans="1:1" ht="45">
      <c r="A324" s="173" t="s">
        <v>4548</v>
      </c>
    </row>
    <row r="325" spans="1:1">
      <c r="A325" s="167" t="s">
        <v>4549</v>
      </c>
    </row>
    <row r="326" spans="1:1" ht="30">
      <c r="A326" s="167" t="s">
        <v>4550</v>
      </c>
    </row>
    <row r="327" spans="1:1">
      <c r="A327" s="167" t="s">
        <v>4551</v>
      </c>
    </row>
    <row r="328" spans="1:1" ht="30">
      <c r="A328" s="167" t="s">
        <v>4552</v>
      </c>
    </row>
    <row r="329" spans="1:1">
      <c r="A329" s="167" t="s">
        <v>4553</v>
      </c>
    </row>
    <row r="330" spans="1:1" ht="30">
      <c r="A330" s="167" t="s">
        <v>4554</v>
      </c>
    </row>
    <row r="331" spans="1:1" ht="75">
      <c r="A331" s="167" t="s">
        <v>4555</v>
      </c>
    </row>
    <row r="332" spans="1:1">
      <c r="A332" s="167" t="s">
        <v>4556</v>
      </c>
    </row>
    <row r="333" spans="1:1" ht="30">
      <c r="A333" s="167" t="s">
        <v>4557</v>
      </c>
    </row>
    <row r="334" spans="1:1" ht="75">
      <c r="A334" s="167" t="s">
        <v>4558</v>
      </c>
    </row>
    <row r="335" spans="1:1" ht="45">
      <c r="A335" s="167" t="s">
        <v>4559</v>
      </c>
    </row>
    <row r="336" spans="1:1" ht="30">
      <c r="A336" s="167" t="s">
        <v>4560</v>
      </c>
    </row>
    <row r="337" spans="1:1" ht="269.25" customHeight="1">
      <c r="A337" s="173" t="s">
        <v>4561</v>
      </c>
    </row>
    <row r="339" spans="1:1">
      <c r="A339" s="175" t="s">
        <v>125</v>
      </c>
    </row>
    <row r="341" spans="1:1" ht="45">
      <c r="A341" s="167" t="s">
        <v>4562</v>
      </c>
    </row>
    <row r="342" spans="1:1" ht="60">
      <c r="A342" s="167" t="s">
        <v>4563</v>
      </c>
    </row>
    <row r="343" spans="1:1" ht="30">
      <c r="A343" s="167" t="s">
        <v>4564</v>
      </c>
    </row>
    <row r="344" spans="1:1" ht="30">
      <c r="A344" s="167" t="s">
        <v>4531</v>
      </c>
    </row>
    <row r="345" spans="1:1" ht="30">
      <c r="A345" s="167" t="s">
        <v>4565</v>
      </c>
    </row>
    <row r="346" spans="1:1" ht="105">
      <c r="A346" s="167" t="s">
        <v>4566</v>
      </c>
    </row>
    <row r="347" spans="1:1">
      <c r="A347" s="167" t="s">
        <v>4567</v>
      </c>
    </row>
  </sheetData>
  <sheetProtection algorithmName="SHA-512" hashValue="kc16di+kyfmOCuqYd5gnVebG/VIM05Zuv8IA26hQbrPAzI/vr61tmeyFBcs5XzA3dj6+1BbIYMAm02kxf1pUHw==" saltValue="f99SUo00KqTPTNl9yi8d9w==" spinCount="100000" sheet="1" objects="1" scenarios="1"/>
  <pageMargins left="0.70866141732283472" right="0.70866141732283472" top="0.74803149606299213" bottom="0.74803149606299213" header="0.31496062992125984" footer="0.31496062992125984"/>
  <pageSetup paperSize="9" scale="97" orientation="portrait" r:id="rId1"/>
  <headerFooter>
    <oddHeader xml:space="preserve">&amp;LInvestitor: Hrvatski institut za povijest&amp;CTroškovnik - OTU
&amp;Rdatum:
lipanj 2025.
</oddHeader>
    <oddFooter>&amp;CGrađevina:
Palača bogoštovlja i nastave&amp;Rstr.: &amp;P od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2:E101"/>
  <sheetViews>
    <sheetView zoomScaleNormal="100" zoomScaleSheetLayoutView="100" workbookViewId="0">
      <selection activeCell="B12" sqref="B12"/>
    </sheetView>
  </sheetViews>
  <sheetFormatPr defaultRowHeight="15"/>
  <cols>
    <col min="1" max="1" width="5.85546875" style="191" bestFit="1" customWidth="1"/>
    <col min="2" max="2" width="43.7109375" style="192" customWidth="1"/>
    <col min="3" max="3" width="9.140625" style="192"/>
    <col min="4" max="4" width="11.42578125" style="192" customWidth="1"/>
    <col min="5" max="5" width="17.42578125" style="212" customWidth="1"/>
    <col min="6" max="6" width="11.28515625" style="28" customWidth="1"/>
    <col min="7" max="252" width="9.140625" style="28"/>
    <col min="253" max="253" width="4.85546875" style="28" bestFit="1" customWidth="1"/>
    <col min="254" max="254" width="33.85546875" style="28" customWidth="1"/>
    <col min="255" max="257" width="9.140625" style="28"/>
    <col min="258" max="258" width="14.42578125" style="28" customWidth="1"/>
    <col min="259" max="508" width="9.140625" style="28"/>
    <col min="509" max="509" width="4.85546875" style="28" bestFit="1" customWidth="1"/>
    <col min="510" max="510" width="33.85546875" style="28" customWidth="1"/>
    <col min="511" max="513" width="9.140625" style="28"/>
    <col min="514" max="514" width="14.42578125" style="28" customWidth="1"/>
    <col min="515" max="764" width="9.140625" style="28"/>
    <col min="765" max="765" width="4.85546875" style="28" bestFit="1" customWidth="1"/>
    <col min="766" max="766" width="33.85546875" style="28" customWidth="1"/>
    <col min="767" max="769" width="9.140625" style="28"/>
    <col min="770" max="770" width="14.42578125" style="28" customWidth="1"/>
    <col min="771" max="1020" width="9.140625" style="28"/>
    <col min="1021" max="1021" width="4.85546875" style="28" bestFit="1" customWidth="1"/>
    <col min="1022" max="1022" width="33.85546875" style="28" customWidth="1"/>
    <col min="1023" max="1025" width="9.140625" style="28"/>
    <col min="1026" max="1026" width="14.42578125" style="28" customWidth="1"/>
    <col min="1027" max="1276" width="9.140625" style="28"/>
    <col min="1277" max="1277" width="4.85546875" style="28" bestFit="1" customWidth="1"/>
    <col min="1278" max="1278" width="33.85546875" style="28" customWidth="1"/>
    <col min="1279" max="1281" width="9.140625" style="28"/>
    <col min="1282" max="1282" width="14.42578125" style="28" customWidth="1"/>
    <col min="1283" max="1532" width="9.140625" style="28"/>
    <col min="1533" max="1533" width="4.85546875" style="28" bestFit="1" customWidth="1"/>
    <col min="1534" max="1534" width="33.85546875" style="28" customWidth="1"/>
    <col min="1535" max="1537" width="9.140625" style="28"/>
    <col min="1538" max="1538" width="14.42578125" style="28" customWidth="1"/>
    <col min="1539" max="1788" width="9.140625" style="28"/>
    <col min="1789" max="1789" width="4.85546875" style="28" bestFit="1" customWidth="1"/>
    <col min="1790" max="1790" width="33.85546875" style="28" customWidth="1"/>
    <col min="1791" max="1793" width="9.140625" style="28"/>
    <col min="1794" max="1794" width="14.42578125" style="28" customWidth="1"/>
    <col min="1795" max="2044" width="9.140625" style="28"/>
    <col min="2045" max="2045" width="4.85546875" style="28" bestFit="1" customWidth="1"/>
    <col min="2046" max="2046" width="33.85546875" style="28" customWidth="1"/>
    <col min="2047" max="2049" width="9.140625" style="28"/>
    <col min="2050" max="2050" width="14.42578125" style="28" customWidth="1"/>
    <col min="2051" max="2300" width="9.140625" style="28"/>
    <col min="2301" max="2301" width="4.85546875" style="28" bestFit="1" customWidth="1"/>
    <col min="2302" max="2302" width="33.85546875" style="28" customWidth="1"/>
    <col min="2303" max="2305" width="9.140625" style="28"/>
    <col min="2306" max="2306" width="14.42578125" style="28" customWidth="1"/>
    <col min="2307" max="2556" width="9.140625" style="28"/>
    <col min="2557" max="2557" width="4.85546875" style="28" bestFit="1" customWidth="1"/>
    <col min="2558" max="2558" width="33.85546875" style="28" customWidth="1"/>
    <col min="2559" max="2561" width="9.140625" style="28"/>
    <col min="2562" max="2562" width="14.42578125" style="28" customWidth="1"/>
    <col min="2563" max="2812" width="9.140625" style="28"/>
    <col min="2813" max="2813" width="4.85546875" style="28" bestFit="1" customWidth="1"/>
    <col min="2814" max="2814" width="33.85546875" style="28" customWidth="1"/>
    <col min="2815" max="2817" width="9.140625" style="28"/>
    <col min="2818" max="2818" width="14.42578125" style="28" customWidth="1"/>
    <col min="2819" max="3068" width="9.140625" style="28"/>
    <col min="3069" max="3069" width="4.85546875" style="28" bestFit="1" customWidth="1"/>
    <col min="3070" max="3070" width="33.85546875" style="28" customWidth="1"/>
    <col min="3071" max="3073" width="9.140625" style="28"/>
    <col min="3074" max="3074" width="14.42578125" style="28" customWidth="1"/>
    <col min="3075" max="3324" width="9.140625" style="28"/>
    <col min="3325" max="3325" width="4.85546875" style="28" bestFit="1" customWidth="1"/>
    <col min="3326" max="3326" width="33.85546875" style="28" customWidth="1"/>
    <col min="3327" max="3329" width="9.140625" style="28"/>
    <col min="3330" max="3330" width="14.42578125" style="28" customWidth="1"/>
    <col min="3331" max="3580" width="9.140625" style="28"/>
    <col min="3581" max="3581" width="4.85546875" style="28" bestFit="1" customWidth="1"/>
    <col min="3582" max="3582" width="33.85546875" style="28" customWidth="1"/>
    <col min="3583" max="3585" width="9.140625" style="28"/>
    <col min="3586" max="3586" width="14.42578125" style="28" customWidth="1"/>
    <col min="3587" max="3836" width="9.140625" style="28"/>
    <col min="3837" max="3837" width="4.85546875" style="28" bestFit="1" customWidth="1"/>
    <col min="3838" max="3838" width="33.85546875" style="28" customWidth="1"/>
    <col min="3839" max="3841" width="9.140625" style="28"/>
    <col min="3842" max="3842" width="14.42578125" style="28" customWidth="1"/>
    <col min="3843" max="4092" width="9.140625" style="28"/>
    <col min="4093" max="4093" width="4.85546875" style="28" bestFit="1" customWidth="1"/>
    <col min="4094" max="4094" width="33.85546875" style="28" customWidth="1"/>
    <col min="4095" max="4097" width="9.140625" style="28"/>
    <col min="4098" max="4098" width="14.42578125" style="28" customWidth="1"/>
    <col min="4099" max="4348" width="9.140625" style="28"/>
    <col min="4349" max="4349" width="4.85546875" style="28" bestFit="1" customWidth="1"/>
    <col min="4350" max="4350" width="33.85546875" style="28" customWidth="1"/>
    <col min="4351" max="4353" width="9.140625" style="28"/>
    <col min="4354" max="4354" width="14.42578125" style="28" customWidth="1"/>
    <col min="4355" max="4604" width="9.140625" style="28"/>
    <col min="4605" max="4605" width="4.85546875" style="28" bestFit="1" customWidth="1"/>
    <col min="4606" max="4606" width="33.85546875" style="28" customWidth="1"/>
    <col min="4607" max="4609" width="9.140625" style="28"/>
    <col min="4610" max="4610" width="14.42578125" style="28" customWidth="1"/>
    <col min="4611" max="4860" width="9.140625" style="28"/>
    <col min="4861" max="4861" width="4.85546875" style="28" bestFit="1" customWidth="1"/>
    <col min="4862" max="4862" width="33.85546875" style="28" customWidth="1"/>
    <col min="4863" max="4865" width="9.140625" style="28"/>
    <col min="4866" max="4866" width="14.42578125" style="28" customWidth="1"/>
    <col min="4867" max="5116" width="9.140625" style="28"/>
    <col min="5117" max="5117" width="4.85546875" style="28" bestFit="1" customWidth="1"/>
    <col min="5118" max="5118" width="33.85546875" style="28" customWidth="1"/>
    <col min="5119" max="5121" width="9.140625" style="28"/>
    <col min="5122" max="5122" width="14.42578125" style="28" customWidth="1"/>
    <col min="5123" max="5372" width="9.140625" style="28"/>
    <col min="5373" max="5373" width="4.85546875" style="28" bestFit="1" customWidth="1"/>
    <col min="5374" max="5374" width="33.85546875" style="28" customWidth="1"/>
    <col min="5375" max="5377" width="9.140625" style="28"/>
    <col min="5378" max="5378" width="14.42578125" style="28" customWidth="1"/>
    <col min="5379" max="5628" width="9.140625" style="28"/>
    <col min="5629" max="5629" width="4.85546875" style="28" bestFit="1" customWidth="1"/>
    <col min="5630" max="5630" width="33.85546875" style="28" customWidth="1"/>
    <col min="5631" max="5633" width="9.140625" style="28"/>
    <col min="5634" max="5634" width="14.42578125" style="28" customWidth="1"/>
    <col min="5635" max="5884" width="9.140625" style="28"/>
    <col min="5885" max="5885" width="4.85546875" style="28" bestFit="1" customWidth="1"/>
    <col min="5886" max="5886" width="33.85546875" style="28" customWidth="1"/>
    <col min="5887" max="5889" width="9.140625" style="28"/>
    <col min="5890" max="5890" width="14.42578125" style="28" customWidth="1"/>
    <col min="5891" max="6140" width="9.140625" style="28"/>
    <col min="6141" max="6141" width="4.85546875" style="28" bestFit="1" customWidth="1"/>
    <col min="6142" max="6142" width="33.85546875" style="28" customWidth="1"/>
    <col min="6143" max="6145" width="9.140625" style="28"/>
    <col min="6146" max="6146" width="14.42578125" style="28" customWidth="1"/>
    <col min="6147" max="6396" width="9.140625" style="28"/>
    <col min="6397" max="6397" width="4.85546875" style="28" bestFit="1" customWidth="1"/>
    <col min="6398" max="6398" width="33.85546875" style="28" customWidth="1"/>
    <col min="6399" max="6401" width="9.140625" style="28"/>
    <col min="6402" max="6402" width="14.42578125" style="28" customWidth="1"/>
    <col min="6403" max="6652" width="9.140625" style="28"/>
    <col min="6653" max="6653" width="4.85546875" style="28" bestFit="1" customWidth="1"/>
    <col min="6654" max="6654" width="33.85546875" style="28" customWidth="1"/>
    <col min="6655" max="6657" width="9.140625" style="28"/>
    <col min="6658" max="6658" width="14.42578125" style="28" customWidth="1"/>
    <col min="6659" max="6908" width="9.140625" style="28"/>
    <col min="6909" max="6909" width="4.85546875" style="28" bestFit="1" customWidth="1"/>
    <col min="6910" max="6910" width="33.85546875" style="28" customWidth="1"/>
    <col min="6911" max="6913" width="9.140625" style="28"/>
    <col min="6914" max="6914" width="14.42578125" style="28" customWidth="1"/>
    <col min="6915" max="7164" width="9.140625" style="28"/>
    <col min="7165" max="7165" width="4.85546875" style="28" bestFit="1" customWidth="1"/>
    <col min="7166" max="7166" width="33.85546875" style="28" customWidth="1"/>
    <col min="7167" max="7169" width="9.140625" style="28"/>
    <col min="7170" max="7170" width="14.42578125" style="28" customWidth="1"/>
    <col min="7171" max="7420" width="9.140625" style="28"/>
    <col min="7421" max="7421" width="4.85546875" style="28" bestFit="1" customWidth="1"/>
    <col min="7422" max="7422" width="33.85546875" style="28" customWidth="1"/>
    <col min="7423" max="7425" width="9.140625" style="28"/>
    <col min="7426" max="7426" width="14.42578125" style="28" customWidth="1"/>
    <col min="7427" max="7676" width="9.140625" style="28"/>
    <col min="7677" max="7677" width="4.85546875" style="28" bestFit="1" customWidth="1"/>
    <col min="7678" max="7678" width="33.85546875" style="28" customWidth="1"/>
    <col min="7679" max="7681" width="9.140625" style="28"/>
    <col min="7682" max="7682" width="14.42578125" style="28" customWidth="1"/>
    <col min="7683" max="7932" width="9.140625" style="28"/>
    <col min="7933" max="7933" width="4.85546875" style="28" bestFit="1" customWidth="1"/>
    <col min="7934" max="7934" width="33.85546875" style="28" customWidth="1"/>
    <col min="7935" max="7937" width="9.140625" style="28"/>
    <col min="7938" max="7938" width="14.42578125" style="28" customWidth="1"/>
    <col min="7939" max="8188" width="9.140625" style="28"/>
    <col min="8189" max="8189" width="4.85546875" style="28" bestFit="1" customWidth="1"/>
    <col min="8190" max="8190" width="33.85546875" style="28" customWidth="1"/>
    <col min="8191" max="8193" width="9.140625" style="28"/>
    <col min="8194" max="8194" width="14.42578125" style="28" customWidth="1"/>
    <col min="8195" max="8444" width="9.140625" style="28"/>
    <col min="8445" max="8445" width="4.85546875" style="28" bestFit="1" customWidth="1"/>
    <col min="8446" max="8446" width="33.85546875" style="28" customWidth="1"/>
    <col min="8447" max="8449" width="9.140625" style="28"/>
    <col min="8450" max="8450" width="14.42578125" style="28" customWidth="1"/>
    <col min="8451" max="8700" width="9.140625" style="28"/>
    <col min="8701" max="8701" width="4.85546875" style="28" bestFit="1" customWidth="1"/>
    <col min="8702" max="8702" width="33.85546875" style="28" customWidth="1"/>
    <col min="8703" max="8705" width="9.140625" style="28"/>
    <col min="8706" max="8706" width="14.42578125" style="28" customWidth="1"/>
    <col min="8707" max="8956" width="9.140625" style="28"/>
    <col min="8957" max="8957" width="4.85546875" style="28" bestFit="1" customWidth="1"/>
    <col min="8958" max="8958" width="33.85546875" style="28" customWidth="1"/>
    <col min="8959" max="8961" width="9.140625" style="28"/>
    <col min="8962" max="8962" width="14.42578125" style="28" customWidth="1"/>
    <col min="8963" max="9212" width="9.140625" style="28"/>
    <col min="9213" max="9213" width="4.85546875" style="28" bestFit="1" customWidth="1"/>
    <col min="9214" max="9214" width="33.85546875" style="28" customWidth="1"/>
    <col min="9215" max="9217" width="9.140625" style="28"/>
    <col min="9218" max="9218" width="14.42578125" style="28" customWidth="1"/>
    <col min="9219" max="9468" width="9.140625" style="28"/>
    <col min="9469" max="9469" width="4.85546875" style="28" bestFit="1" customWidth="1"/>
    <col min="9470" max="9470" width="33.85546875" style="28" customWidth="1"/>
    <col min="9471" max="9473" width="9.140625" style="28"/>
    <col min="9474" max="9474" width="14.42578125" style="28" customWidth="1"/>
    <col min="9475" max="9724" width="9.140625" style="28"/>
    <col min="9725" max="9725" width="4.85546875" style="28" bestFit="1" customWidth="1"/>
    <col min="9726" max="9726" width="33.85546875" style="28" customWidth="1"/>
    <col min="9727" max="9729" width="9.140625" style="28"/>
    <col min="9730" max="9730" width="14.42578125" style="28" customWidth="1"/>
    <col min="9731" max="9980" width="9.140625" style="28"/>
    <col min="9981" max="9981" width="4.85546875" style="28" bestFit="1" customWidth="1"/>
    <col min="9982" max="9982" width="33.85546875" style="28" customWidth="1"/>
    <col min="9983" max="9985" width="9.140625" style="28"/>
    <col min="9986" max="9986" width="14.42578125" style="28" customWidth="1"/>
    <col min="9987" max="10236" width="9.140625" style="28"/>
    <col min="10237" max="10237" width="4.85546875" style="28" bestFit="1" customWidth="1"/>
    <col min="10238" max="10238" width="33.85546875" style="28" customWidth="1"/>
    <col min="10239" max="10241" width="9.140625" style="28"/>
    <col min="10242" max="10242" width="14.42578125" style="28" customWidth="1"/>
    <col min="10243" max="10492" width="9.140625" style="28"/>
    <col min="10493" max="10493" width="4.85546875" style="28" bestFit="1" customWidth="1"/>
    <col min="10494" max="10494" width="33.85546875" style="28" customWidth="1"/>
    <col min="10495" max="10497" width="9.140625" style="28"/>
    <col min="10498" max="10498" width="14.42578125" style="28" customWidth="1"/>
    <col min="10499" max="10748" width="9.140625" style="28"/>
    <col min="10749" max="10749" width="4.85546875" style="28" bestFit="1" customWidth="1"/>
    <col min="10750" max="10750" width="33.85546875" style="28" customWidth="1"/>
    <col min="10751" max="10753" width="9.140625" style="28"/>
    <col min="10754" max="10754" width="14.42578125" style="28" customWidth="1"/>
    <col min="10755" max="11004" width="9.140625" style="28"/>
    <col min="11005" max="11005" width="4.85546875" style="28" bestFit="1" customWidth="1"/>
    <col min="11006" max="11006" width="33.85546875" style="28" customWidth="1"/>
    <col min="11007" max="11009" width="9.140625" style="28"/>
    <col min="11010" max="11010" width="14.42578125" style="28" customWidth="1"/>
    <col min="11011" max="11260" width="9.140625" style="28"/>
    <col min="11261" max="11261" width="4.85546875" style="28" bestFit="1" customWidth="1"/>
    <col min="11262" max="11262" width="33.85546875" style="28" customWidth="1"/>
    <col min="11263" max="11265" width="9.140625" style="28"/>
    <col min="11266" max="11266" width="14.42578125" style="28" customWidth="1"/>
    <col min="11267" max="11516" width="9.140625" style="28"/>
    <col min="11517" max="11517" width="4.85546875" style="28" bestFit="1" customWidth="1"/>
    <col min="11518" max="11518" width="33.85546875" style="28" customWidth="1"/>
    <col min="11519" max="11521" width="9.140625" style="28"/>
    <col min="11522" max="11522" width="14.42578125" style="28" customWidth="1"/>
    <col min="11523" max="11772" width="9.140625" style="28"/>
    <col min="11773" max="11773" width="4.85546875" style="28" bestFit="1" customWidth="1"/>
    <col min="11774" max="11774" width="33.85546875" style="28" customWidth="1"/>
    <col min="11775" max="11777" width="9.140625" style="28"/>
    <col min="11778" max="11778" width="14.42578125" style="28" customWidth="1"/>
    <col min="11779" max="12028" width="9.140625" style="28"/>
    <col min="12029" max="12029" width="4.85546875" style="28" bestFit="1" customWidth="1"/>
    <col min="12030" max="12030" width="33.85546875" style="28" customWidth="1"/>
    <col min="12031" max="12033" width="9.140625" style="28"/>
    <col min="12034" max="12034" width="14.42578125" style="28" customWidth="1"/>
    <col min="12035" max="12284" width="9.140625" style="28"/>
    <col min="12285" max="12285" width="4.85546875" style="28" bestFit="1" customWidth="1"/>
    <col min="12286" max="12286" width="33.85546875" style="28" customWidth="1"/>
    <col min="12287" max="12289" width="9.140625" style="28"/>
    <col min="12290" max="12290" width="14.42578125" style="28" customWidth="1"/>
    <col min="12291" max="12540" width="9.140625" style="28"/>
    <col min="12541" max="12541" width="4.85546875" style="28" bestFit="1" customWidth="1"/>
    <col min="12542" max="12542" width="33.85546875" style="28" customWidth="1"/>
    <col min="12543" max="12545" width="9.140625" style="28"/>
    <col min="12546" max="12546" width="14.42578125" style="28" customWidth="1"/>
    <col min="12547" max="12796" width="9.140625" style="28"/>
    <col min="12797" max="12797" width="4.85546875" style="28" bestFit="1" customWidth="1"/>
    <col min="12798" max="12798" width="33.85546875" style="28" customWidth="1"/>
    <col min="12799" max="12801" width="9.140625" style="28"/>
    <col min="12802" max="12802" width="14.42578125" style="28" customWidth="1"/>
    <col min="12803" max="13052" width="9.140625" style="28"/>
    <col min="13053" max="13053" width="4.85546875" style="28" bestFit="1" customWidth="1"/>
    <col min="13054" max="13054" width="33.85546875" style="28" customWidth="1"/>
    <col min="13055" max="13057" width="9.140625" style="28"/>
    <col min="13058" max="13058" width="14.42578125" style="28" customWidth="1"/>
    <col min="13059" max="13308" width="9.140625" style="28"/>
    <col min="13309" max="13309" width="4.85546875" style="28" bestFit="1" customWidth="1"/>
    <col min="13310" max="13310" width="33.85546875" style="28" customWidth="1"/>
    <col min="13311" max="13313" width="9.140625" style="28"/>
    <col min="13314" max="13314" width="14.42578125" style="28" customWidth="1"/>
    <col min="13315" max="13564" width="9.140625" style="28"/>
    <col min="13565" max="13565" width="4.85546875" style="28" bestFit="1" customWidth="1"/>
    <col min="13566" max="13566" width="33.85546875" style="28" customWidth="1"/>
    <col min="13567" max="13569" width="9.140625" style="28"/>
    <col min="13570" max="13570" width="14.42578125" style="28" customWidth="1"/>
    <col min="13571" max="13820" width="9.140625" style="28"/>
    <col min="13821" max="13821" width="4.85546875" style="28" bestFit="1" customWidth="1"/>
    <col min="13822" max="13822" width="33.85546875" style="28" customWidth="1"/>
    <col min="13823" max="13825" width="9.140625" style="28"/>
    <col min="13826" max="13826" width="14.42578125" style="28" customWidth="1"/>
    <col min="13827" max="14076" width="9.140625" style="28"/>
    <col min="14077" max="14077" width="4.85546875" style="28" bestFit="1" customWidth="1"/>
    <col min="14078" max="14078" width="33.85546875" style="28" customWidth="1"/>
    <col min="14079" max="14081" width="9.140625" style="28"/>
    <col min="14082" max="14082" width="14.42578125" style="28" customWidth="1"/>
    <col min="14083" max="14332" width="9.140625" style="28"/>
    <col min="14333" max="14333" width="4.85546875" style="28" bestFit="1" customWidth="1"/>
    <col min="14334" max="14334" width="33.85546875" style="28" customWidth="1"/>
    <col min="14335" max="14337" width="9.140625" style="28"/>
    <col min="14338" max="14338" width="14.42578125" style="28" customWidth="1"/>
    <col min="14339" max="14588" width="9.140625" style="28"/>
    <col min="14589" max="14589" width="4.85546875" style="28" bestFit="1" customWidth="1"/>
    <col min="14590" max="14590" width="33.85546875" style="28" customWidth="1"/>
    <col min="14591" max="14593" width="9.140625" style="28"/>
    <col min="14594" max="14594" width="14.42578125" style="28" customWidth="1"/>
    <col min="14595" max="14844" width="9.140625" style="28"/>
    <col min="14845" max="14845" width="4.85546875" style="28" bestFit="1" customWidth="1"/>
    <col min="14846" max="14846" width="33.85546875" style="28" customWidth="1"/>
    <col min="14847" max="14849" width="9.140625" style="28"/>
    <col min="14850" max="14850" width="14.42578125" style="28" customWidth="1"/>
    <col min="14851" max="15100" width="9.140625" style="28"/>
    <col min="15101" max="15101" width="4.85546875" style="28" bestFit="1" customWidth="1"/>
    <col min="15102" max="15102" width="33.85546875" style="28" customWidth="1"/>
    <col min="15103" max="15105" width="9.140625" style="28"/>
    <col min="15106" max="15106" width="14.42578125" style="28" customWidth="1"/>
    <col min="15107" max="15356" width="9.140625" style="28"/>
    <col min="15357" max="15357" width="4.85546875" style="28" bestFit="1" customWidth="1"/>
    <col min="15358" max="15358" width="33.85546875" style="28" customWidth="1"/>
    <col min="15359" max="15361" width="9.140625" style="28"/>
    <col min="15362" max="15362" width="14.42578125" style="28" customWidth="1"/>
    <col min="15363" max="15612" width="9.140625" style="28"/>
    <col min="15613" max="15613" width="4.85546875" style="28" bestFit="1" customWidth="1"/>
    <col min="15614" max="15614" width="33.85546875" style="28" customWidth="1"/>
    <col min="15615" max="15617" width="9.140625" style="28"/>
    <col min="15618" max="15618" width="14.42578125" style="28" customWidth="1"/>
    <col min="15619" max="15868" width="9.140625" style="28"/>
    <col min="15869" max="15869" width="4.85546875" style="28" bestFit="1" customWidth="1"/>
    <col min="15870" max="15870" width="33.85546875" style="28" customWidth="1"/>
    <col min="15871" max="15873" width="9.140625" style="28"/>
    <col min="15874" max="15874" width="14.42578125" style="28" customWidth="1"/>
    <col min="15875" max="16124" width="9.140625" style="28"/>
    <col min="16125" max="16125" width="4.85546875" style="28" bestFit="1" customWidth="1"/>
    <col min="16126" max="16126" width="33.85546875" style="28" customWidth="1"/>
    <col min="16127" max="16129" width="9.140625" style="28"/>
    <col min="16130" max="16130" width="14.42578125" style="28" customWidth="1"/>
    <col min="16131" max="16384" width="9.140625" style="28"/>
  </cols>
  <sheetData>
    <row r="2" spans="1:5" s="23" customFormat="1">
      <c r="A2" s="177"/>
      <c r="B2" s="20" t="s">
        <v>199</v>
      </c>
      <c r="C2" s="21"/>
      <c r="D2" s="22"/>
      <c r="E2" s="178"/>
    </row>
    <row r="3" spans="1:5">
      <c r="A3" s="179"/>
      <c r="B3" s="25"/>
      <c r="C3" s="26"/>
      <c r="D3" s="27"/>
      <c r="E3" s="180"/>
    </row>
    <row r="4" spans="1:5">
      <c r="A4" s="181" t="s">
        <v>97</v>
      </c>
      <c r="B4" s="29" t="s">
        <v>96</v>
      </c>
      <c r="C4" s="30"/>
      <c r="D4" s="31"/>
      <c r="E4" s="182"/>
    </row>
    <row r="5" spans="1:5">
      <c r="A5" s="183"/>
      <c r="B5" s="33"/>
      <c r="C5" s="26"/>
      <c r="D5" s="27"/>
      <c r="E5" s="180"/>
    </row>
    <row r="6" spans="1:5" s="36" customFormat="1">
      <c r="A6" s="184" t="s">
        <v>1555</v>
      </c>
      <c r="B6" s="34" t="s">
        <v>1840</v>
      </c>
      <c r="C6" s="32"/>
      <c r="D6" s="35"/>
      <c r="E6" s="185"/>
    </row>
    <row r="7" spans="1:5">
      <c r="A7" s="186" t="s">
        <v>1555</v>
      </c>
      <c r="B7" s="39" t="s">
        <v>1841</v>
      </c>
      <c r="C7" s="39"/>
      <c r="D7" s="40"/>
      <c r="E7" s="187">
        <f>'A0 Rušenje'!F297</f>
        <v>0</v>
      </c>
    </row>
    <row r="8" spans="1:5">
      <c r="A8" s="179"/>
      <c r="B8" s="25"/>
      <c r="C8" s="26"/>
      <c r="D8" s="27"/>
      <c r="E8" s="188"/>
    </row>
    <row r="9" spans="1:5" s="36" customFormat="1">
      <c r="A9" s="184" t="s">
        <v>9</v>
      </c>
      <c r="B9" s="34" t="s">
        <v>95</v>
      </c>
      <c r="C9" s="32"/>
      <c r="D9" s="35"/>
      <c r="E9" s="185"/>
    </row>
    <row r="10" spans="1:5">
      <c r="A10" s="189" t="str">
        <f>'A1 Građ'!A1148</f>
        <v>A.1.1.</v>
      </c>
      <c r="B10" s="37" t="str">
        <f>'A1 Građ'!B1148</f>
        <v>PRIPREMNI I ZAVRŠNI RADOVI UKUPNO</v>
      </c>
      <c r="C10" s="24"/>
      <c r="D10" s="38"/>
      <c r="E10" s="190">
        <f>'A1 Građ'!F1148</f>
        <v>0</v>
      </c>
    </row>
    <row r="11" spans="1:5">
      <c r="A11" s="189" t="str">
        <f>'A1 Građ'!A1149</f>
        <v>A.1.2.</v>
      </c>
      <c r="B11" s="37" t="str">
        <f>'A1 Građ'!B1149</f>
        <v>ZEMLJANI RADOVI UKUPNO</v>
      </c>
      <c r="C11" s="24"/>
      <c r="D11" s="38"/>
      <c r="E11" s="190">
        <f>'A1 Građ'!F1149</f>
        <v>0</v>
      </c>
    </row>
    <row r="12" spans="1:5">
      <c r="A12" s="189" t="str">
        <f>'A1 Građ'!A1150</f>
        <v>A.1.3.</v>
      </c>
      <c r="B12" s="37" t="str">
        <f>'A1 Građ'!B1150</f>
        <v>BETONSKI I ARMIRANOBETONSKI RADOVI UKUPNO</v>
      </c>
      <c r="C12" s="24"/>
      <c r="D12" s="38"/>
      <c r="E12" s="190">
        <f>'A1 Građ'!F1150</f>
        <v>0</v>
      </c>
    </row>
    <row r="13" spans="1:5">
      <c r="A13" s="189" t="str">
        <f>'A1 Građ'!A1151</f>
        <v>A.1.4.</v>
      </c>
      <c r="B13" s="37" t="str">
        <f>'A1 Građ'!B1151</f>
        <v>ARMIRAČKI RADOVI UKUPNO</v>
      </c>
      <c r="C13" s="24"/>
      <c r="D13" s="38"/>
      <c r="E13" s="190">
        <f>'A1 Građ'!F1151</f>
        <v>0</v>
      </c>
    </row>
    <row r="14" spans="1:5">
      <c r="A14" s="189" t="str">
        <f>'A1 Građ'!A1152</f>
        <v>A.1.5.</v>
      </c>
      <c r="B14" s="37" t="str">
        <f>'A1 Građ'!B1152</f>
        <v>RADOVI OJAČANJA NOSIVE KONSTRUKCIJE UKUPNO</v>
      </c>
      <c r="C14" s="24"/>
      <c r="D14" s="38"/>
      <c r="E14" s="190">
        <f>'A1 Građ'!F1152</f>
        <v>0</v>
      </c>
    </row>
    <row r="15" spans="1:5">
      <c r="A15" s="189" t="str">
        <f>'A1 Građ'!A1153</f>
        <v>A.1.6.</v>
      </c>
      <c r="B15" s="37" t="str">
        <f>'A1 Građ'!B1153</f>
        <v>ČELIČNA KONSTRUKCIJA UKUPNO</v>
      </c>
      <c r="C15" s="24"/>
      <c r="D15" s="38"/>
      <c r="E15" s="190">
        <f>'A1 Građ'!F1153</f>
        <v>0</v>
      </c>
    </row>
    <row r="16" spans="1:5">
      <c r="A16" s="189" t="str">
        <f>'A1 Građ'!A1154</f>
        <v>A.1.7.</v>
      </c>
      <c r="B16" s="37" t="str">
        <f>'A1 Građ'!B1154</f>
        <v>ZIDARSKO FASADERSKI RADOVI UKUPNO</v>
      </c>
      <c r="C16" s="24"/>
      <c r="D16" s="38"/>
      <c r="E16" s="190">
        <f>'A1 Građ'!F1154</f>
        <v>0</v>
      </c>
    </row>
    <row r="17" spans="1:5">
      <c r="A17" s="189" t="str">
        <f>'A1 Građ'!A1155</f>
        <v>A.1.8.</v>
      </c>
      <c r="B17" s="37" t="str">
        <f>'A1 Građ'!B1155</f>
        <v>TESARSKI RADOVI UKUPNO</v>
      </c>
      <c r="C17" s="24"/>
      <c r="D17" s="38"/>
      <c r="E17" s="190">
        <f>'A1 Građ'!F1155</f>
        <v>0</v>
      </c>
    </row>
    <row r="18" spans="1:5">
      <c r="A18" s="189" t="str">
        <f>'A1 Građ'!A1156</f>
        <v>A.1.9.</v>
      </c>
      <c r="B18" s="37" t="str">
        <f>'A1 Građ'!B1156</f>
        <v>IZOLATERSKI RADOVI UKUPNO</v>
      </c>
      <c r="C18" s="24"/>
      <c r="D18" s="38"/>
      <c r="E18" s="190">
        <f>'A1 Građ'!F1156</f>
        <v>0</v>
      </c>
    </row>
    <row r="19" spans="1:5">
      <c r="A19" s="189" t="str">
        <f>'A1 Građ'!A1157</f>
        <v>A.1.10.</v>
      </c>
      <c r="B19" s="37" t="str">
        <f>'A1 Građ'!B1157</f>
        <v>DRVENO KROVIŠTE UKUPNO</v>
      </c>
      <c r="C19" s="24"/>
      <c r="D19" s="38"/>
      <c r="E19" s="190">
        <f>'A1 Građ'!F1157</f>
        <v>0</v>
      </c>
    </row>
    <row r="20" spans="1:5">
      <c r="A20" s="186" t="s">
        <v>9</v>
      </c>
      <c r="B20" s="39" t="s">
        <v>8</v>
      </c>
      <c r="C20" s="39"/>
      <c r="D20" s="40"/>
      <c r="E20" s="187">
        <f>SUM(E10:E19)</f>
        <v>0</v>
      </c>
    </row>
    <row r="21" spans="1:5">
      <c r="A21" s="179"/>
      <c r="B21" s="25"/>
      <c r="C21" s="26"/>
      <c r="D21" s="27"/>
      <c r="E21" s="188"/>
    </row>
    <row r="22" spans="1:5" s="36" customFormat="1">
      <c r="A22" s="184" t="s">
        <v>108</v>
      </c>
      <c r="B22" s="41" t="s">
        <v>200</v>
      </c>
      <c r="C22" s="32"/>
      <c r="D22" s="35"/>
      <c r="E22" s="185"/>
    </row>
    <row r="23" spans="1:5">
      <c r="A23" s="189" t="str">
        <f>'A2 Obrt'!A1631</f>
        <v>A.2.1.</v>
      </c>
      <c r="B23" s="37" t="str">
        <f>'A2 Obrt'!B1631</f>
        <v>ZAVRŠNO- MONTAŽERSKI RADOVI UKUPNO</v>
      </c>
      <c r="C23" s="24"/>
      <c r="D23" s="38"/>
      <c r="E23" s="190">
        <f>'A2 Obrt'!F1631</f>
        <v>0</v>
      </c>
    </row>
    <row r="24" spans="1:5">
      <c r="A24" s="189" t="str">
        <f>'A2 Obrt'!A1632</f>
        <v>A.2.2.</v>
      </c>
      <c r="B24" s="37" t="str">
        <f>'A2 Obrt'!B1632</f>
        <v>PODOPOLAGAČKI RADOVI UKUPNO</v>
      </c>
      <c r="C24" s="24"/>
      <c r="D24" s="38"/>
      <c r="E24" s="190">
        <f>'A2 Obrt'!F1632</f>
        <v>0</v>
      </c>
    </row>
    <row r="25" spans="1:5">
      <c r="A25" s="189" t="str">
        <f>'A2 Obrt'!A1633</f>
        <v>A.2.3.</v>
      </c>
      <c r="B25" s="37" t="str">
        <f>'A2 Obrt'!B1633</f>
        <v>KERAMIČARSKI RADOVI UKUPNO</v>
      </c>
      <c r="C25" s="24"/>
      <c r="D25" s="38"/>
      <c r="E25" s="190">
        <f>'A2 Obrt'!F1633</f>
        <v>0</v>
      </c>
    </row>
    <row r="26" spans="1:5">
      <c r="A26" s="189" t="str">
        <f>'A2 Obrt'!A1634</f>
        <v>A.2.4.</v>
      </c>
      <c r="B26" s="37" t="str">
        <f>'A2 Obrt'!B1634</f>
        <v>SOBOSLIKARSKO-LIČILAČKI RADOVI UKUPNO</v>
      </c>
      <c r="C26" s="24"/>
      <c r="D26" s="38"/>
      <c r="E26" s="190">
        <f>'A2 Obrt'!F1634</f>
        <v>0</v>
      </c>
    </row>
    <row r="27" spans="1:5">
      <c r="A27" s="189" t="str">
        <f>'A2 Obrt'!A1635</f>
        <v>A.2.5.</v>
      </c>
      <c r="B27" s="37" t="str">
        <f>'A2 Obrt'!B1635</f>
        <v>LIMARSKI RADOVI UKUPNO</v>
      </c>
      <c r="C27" s="24"/>
      <c r="D27" s="38"/>
      <c r="E27" s="190">
        <f>'A2 Obrt'!F1635</f>
        <v>0</v>
      </c>
    </row>
    <row r="28" spans="1:5">
      <c r="A28" s="189" t="str">
        <f>'A2 Obrt'!A1636</f>
        <v>A.2.6.</v>
      </c>
      <c r="B28" s="37" t="str">
        <f>'A2 Obrt'!B1636</f>
        <v>BRAVARSKI RADOVI UKUPNO</v>
      </c>
      <c r="C28" s="24"/>
      <c r="D28" s="38"/>
      <c r="E28" s="190">
        <f>'A2 Obrt'!F1636</f>
        <v>0</v>
      </c>
    </row>
    <row r="29" spans="1:5">
      <c r="A29" s="189" t="str">
        <f>'A2 Obrt'!A1637</f>
        <v>A.2.7.</v>
      </c>
      <c r="B29" s="37" t="str">
        <f>'A2 Obrt'!B1637</f>
        <v>STOLARSKI RADOVI UKUPNO</v>
      </c>
      <c r="C29" s="24"/>
      <c r="D29" s="38"/>
      <c r="E29" s="190">
        <f>'A2 Obrt'!F1637</f>
        <v>0</v>
      </c>
    </row>
    <row r="30" spans="1:5">
      <c r="A30" s="189" t="str">
        <f>'A2 Obrt'!A1638</f>
        <v>A.2.8.</v>
      </c>
      <c r="B30" s="37" t="str">
        <f>'A2 Obrt'!B1638</f>
        <v>KROVOPOKRIVAČKI RADOVI UKUPNO</v>
      </c>
      <c r="C30" s="24"/>
      <c r="D30" s="38"/>
      <c r="E30" s="190">
        <f>'A2 Obrt'!F1638</f>
        <v>0</v>
      </c>
    </row>
    <row r="31" spans="1:5">
      <c r="A31" s="186" t="s">
        <v>108</v>
      </c>
      <c r="B31" s="39" t="s">
        <v>107</v>
      </c>
      <c r="C31" s="39"/>
      <c r="D31" s="40"/>
      <c r="E31" s="187">
        <f>SUM(E23:E30)</f>
        <v>0</v>
      </c>
    </row>
    <row r="32" spans="1:5">
      <c r="E32" s="193"/>
    </row>
    <row r="33" spans="1:5" s="36" customFormat="1">
      <c r="A33" s="184" t="s">
        <v>4605</v>
      </c>
      <c r="B33" s="41" t="s">
        <v>4606</v>
      </c>
      <c r="C33" s="32"/>
      <c r="D33" s="35"/>
      <c r="E33" s="185"/>
    </row>
    <row r="34" spans="1:5">
      <c r="A34" s="186" t="s">
        <v>4605</v>
      </c>
      <c r="B34" s="39" t="s">
        <v>4607</v>
      </c>
      <c r="C34" s="39"/>
      <c r="D34" s="40"/>
      <c r="E34" s="187">
        <f>'A3 Konzervatorski'!F380</f>
        <v>0</v>
      </c>
    </row>
    <row r="35" spans="1:5">
      <c r="E35" s="193"/>
    </row>
    <row r="36" spans="1:5">
      <c r="A36" s="186"/>
      <c r="B36" s="20" t="s">
        <v>199</v>
      </c>
      <c r="C36" s="39"/>
      <c r="D36" s="40"/>
      <c r="E36" s="187"/>
    </row>
    <row r="37" spans="1:5">
      <c r="A37" s="191" t="str">
        <f>A7</f>
        <v>A.0.</v>
      </c>
      <c r="B37" s="192" t="str">
        <f>B7</f>
        <v>RADOVI RUŠENJA I DEMONTAŽE UKUPNO:</v>
      </c>
      <c r="E37" s="193">
        <f>E7</f>
        <v>0</v>
      </c>
    </row>
    <row r="38" spans="1:5">
      <c r="A38" s="191" t="str">
        <f>A20</f>
        <v>A.1.</v>
      </c>
      <c r="B38" s="192" t="str">
        <f>B20</f>
        <v>GRAĐEVINSKI RADOVI UKUPNO:</v>
      </c>
      <c r="E38" s="193">
        <f>E20</f>
        <v>0</v>
      </c>
    </row>
    <row r="39" spans="1:5">
      <c r="A39" s="191" t="str">
        <f>A31</f>
        <v>A.2.</v>
      </c>
      <c r="B39" s="192" t="str">
        <f>B31</f>
        <v>OBRTNIČKI RADOVI UKUPNO:</v>
      </c>
      <c r="E39" s="193">
        <f>E31</f>
        <v>0</v>
      </c>
    </row>
    <row r="40" spans="1:5">
      <c r="A40" s="191" t="s">
        <v>4605</v>
      </c>
      <c r="B40" s="192" t="str">
        <f>B34</f>
        <v>KONZERVATORSKO RESTAURATORSKI RADOVI UKUPNO:</v>
      </c>
      <c r="E40" s="193">
        <f>E34</f>
        <v>0</v>
      </c>
    </row>
    <row r="41" spans="1:5">
      <c r="E41" s="193"/>
    </row>
    <row r="42" spans="1:5">
      <c r="A42" s="181" t="s">
        <v>97</v>
      </c>
      <c r="B42" s="29" t="s">
        <v>1839</v>
      </c>
      <c r="C42" s="30"/>
      <c r="D42" s="31"/>
      <c r="E42" s="194">
        <f>SUM(E37:E40)</f>
        <v>0</v>
      </c>
    </row>
    <row r="43" spans="1:5">
      <c r="A43" s="195"/>
      <c r="B43" s="196"/>
      <c r="C43" s="197"/>
      <c r="D43" s="198"/>
      <c r="E43" s="199"/>
    </row>
    <row r="44" spans="1:5">
      <c r="A44" s="181" t="s">
        <v>4271</v>
      </c>
      <c r="B44" s="29" t="s">
        <v>4272</v>
      </c>
      <c r="C44" s="30"/>
      <c r="D44" s="31"/>
      <c r="E44" s="182"/>
    </row>
    <row r="45" spans="1:5">
      <c r="A45" s="200">
        <v>1</v>
      </c>
      <c r="B45" s="37" t="s">
        <v>3931</v>
      </c>
      <c r="C45" s="24"/>
      <c r="D45" s="38"/>
      <c r="E45" s="190">
        <f>'B-BIO-REKAP'!F6</f>
        <v>0</v>
      </c>
    </row>
    <row r="46" spans="1:5">
      <c r="A46" s="189">
        <v>2</v>
      </c>
      <c r="B46" s="37" t="s">
        <v>4099</v>
      </c>
      <c r="C46" s="24"/>
      <c r="D46" s="38"/>
      <c r="E46" s="190">
        <f>'B-BIO-REKAP'!F8</f>
        <v>0</v>
      </c>
    </row>
    <row r="47" spans="1:5">
      <c r="A47" s="189">
        <v>3</v>
      </c>
      <c r="B47" s="37" t="s">
        <v>4196</v>
      </c>
      <c r="C47" s="24"/>
      <c r="D47" s="38"/>
      <c r="E47" s="190">
        <f>'B-BIO-REKAP'!F10</f>
        <v>0</v>
      </c>
    </row>
    <row r="48" spans="1:5">
      <c r="A48" s="189">
        <v>4</v>
      </c>
      <c r="B48" s="37" t="s">
        <v>4270</v>
      </c>
      <c r="C48" s="24"/>
      <c r="D48" s="38"/>
      <c r="E48" s="190">
        <f>'B-BIO-REKAP'!F12</f>
        <v>0</v>
      </c>
    </row>
    <row r="49" spans="1:5" ht="25.5">
      <c r="A49" s="186" t="s">
        <v>4271</v>
      </c>
      <c r="B49" s="61" t="s">
        <v>4273</v>
      </c>
      <c r="C49" s="39"/>
      <c r="D49" s="40"/>
      <c r="E49" s="187">
        <f>SUM(E45:E48)</f>
        <v>0</v>
      </c>
    </row>
    <row r="50" spans="1:5">
      <c r="A50" s="179"/>
      <c r="B50" s="25"/>
      <c r="C50" s="26"/>
      <c r="D50" s="27"/>
      <c r="E50" s="188"/>
    </row>
    <row r="51" spans="1:5" s="36" customFormat="1">
      <c r="A51" s="181" t="s">
        <v>2803</v>
      </c>
      <c r="B51" s="29" t="s">
        <v>2805</v>
      </c>
      <c r="C51" s="65"/>
      <c r="D51" s="66"/>
      <c r="E51" s="201"/>
    </row>
    <row r="52" spans="1:5" ht="25.5">
      <c r="A52" s="186" t="s">
        <v>2806</v>
      </c>
      <c r="B52" s="61" t="s">
        <v>2804</v>
      </c>
      <c r="C52" s="39"/>
      <c r="D52" s="40"/>
      <c r="E52" s="187">
        <f>'C GH'!F897</f>
        <v>0</v>
      </c>
    </row>
    <row r="53" spans="1:5">
      <c r="A53" s="179"/>
      <c r="B53" s="25"/>
      <c r="C53" s="26"/>
      <c r="D53" s="27"/>
      <c r="E53" s="188"/>
    </row>
    <row r="54" spans="1:5">
      <c r="A54" s="181" t="s">
        <v>3848</v>
      </c>
      <c r="B54" s="29" t="s">
        <v>3849</v>
      </c>
      <c r="C54" s="30"/>
      <c r="D54" s="31"/>
      <c r="E54" s="182"/>
    </row>
    <row r="55" spans="1:5">
      <c r="A55" s="200">
        <v>1</v>
      </c>
      <c r="B55" s="37" t="s">
        <v>3851</v>
      </c>
      <c r="C55" s="24"/>
      <c r="D55" s="38"/>
      <c r="E55" s="190">
        <f>'D Sprinkler'!F308</f>
        <v>0</v>
      </c>
    </row>
    <row r="56" spans="1:5">
      <c r="A56" s="189">
        <v>2</v>
      </c>
      <c r="B56" s="37" t="s">
        <v>3852</v>
      </c>
      <c r="C56" s="24"/>
      <c r="D56" s="38"/>
      <c r="E56" s="190">
        <f>'D Sprinkler'!F310</f>
        <v>0</v>
      </c>
    </row>
    <row r="57" spans="1:5">
      <c r="A57" s="189">
        <v>3</v>
      </c>
      <c r="B57" s="37" t="s">
        <v>3853</v>
      </c>
      <c r="C57" s="24"/>
      <c r="D57" s="38"/>
      <c r="E57" s="190">
        <f>'D Sprinkler'!F312</f>
        <v>0</v>
      </c>
    </row>
    <row r="58" spans="1:5">
      <c r="A58" s="189">
        <v>4</v>
      </c>
      <c r="B58" s="37" t="s">
        <v>3854</v>
      </c>
      <c r="C58" s="24"/>
      <c r="D58" s="38"/>
      <c r="E58" s="190">
        <f>'D Sprinkler'!F314</f>
        <v>0</v>
      </c>
    </row>
    <row r="59" spans="1:5">
      <c r="A59" s="189">
        <v>5</v>
      </c>
      <c r="B59" s="37" t="s">
        <v>3855</v>
      </c>
      <c r="C59" s="24"/>
      <c r="D59" s="38"/>
      <c r="E59" s="190">
        <f>'D Sprinkler'!F316</f>
        <v>0</v>
      </c>
    </row>
    <row r="60" spans="1:5">
      <c r="A60" s="186" t="s">
        <v>3848</v>
      </c>
      <c r="B60" s="39" t="s">
        <v>3850</v>
      </c>
      <c r="C60" s="39"/>
      <c r="D60" s="40"/>
      <c r="E60" s="187">
        <f>SUM(E55:E59)</f>
        <v>0</v>
      </c>
    </row>
    <row r="61" spans="1:5">
      <c r="A61" s="179"/>
      <c r="B61" s="25"/>
      <c r="C61" s="26"/>
      <c r="D61" s="27"/>
      <c r="E61" s="188"/>
    </row>
    <row r="62" spans="1:5" s="36" customFormat="1">
      <c r="A62" s="181" t="s">
        <v>3550</v>
      </c>
      <c r="B62" s="29" t="s">
        <v>3548</v>
      </c>
      <c r="C62" s="65"/>
      <c r="D62" s="66"/>
      <c r="E62" s="201"/>
    </row>
    <row r="63" spans="1:5" ht="25.5">
      <c r="A63" s="186" t="s">
        <v>3551</v>
      </c>
      <c r="B63" s="61" t="s">
        <v>3549</v>
      </c>
      <c r="C63" s="39"/>
      <c r="D63" s="40"/>
      <c r="E63" s="187">
        <f>'E Vertikalni transport'!F31</f>
        <v>0</v>
      </c>
    </row>
    <row r="64" spans="1:5">
      <c r="A64" s="179"/>
      <c r="B64" s="25"/>
      <c r="C64" s="26"/>
      <c r="D64" s="27"/>
      <c r="E64" s="188"/>
    </row>
    <row r="65" spans="1:5">
      <c r="A65" s="181" t="s">
        <v>5486</v>
      </c>
      <c r="B65" s="29" t="s">
        <v>5487</v>
      </c>
      <c r="C65" s="30"/>
      <c r="D65" s="31"/>
      <c r="E65" s="182"/>
    </row>
    <row r="66" spans="1:5">
      <c r="A66" s="200">
        <v>1</v>
      </c>
      <c r="B66" s="37" t="s">
        <v>4620</v>
      </c>
      <c r="C66" s="24"/>
      <c r="D66" s="38"/>
      <c r="E66" s="190">
        <f>'F Elektro'!H1921</f>
        <v>0</v>
      </c>
    </row>
    <row r="67" spans="1:5">
      <c r="A67" s="189">
        <v>2</v>
      </c>
      <c r="B67" s="37" t="s">
        <v>5489</v>
      </c>
      <c r="C67" s="24"/>
      <c r="D67" s="38"/>
      <c r="E67" s="190">
        <f>'F Elektro'!H1922</f>
        <v>0</v>
      </c>
    </row>
    <row r="68" spans="1:5">
      <c r="A68" s="189">
        <v>3</v>
      </c>
      <c r="B68" s="37" t="s">
        <v>5016</v>
      </c>
      <c r="C68" s="24"/>
      <c r="D68" s="38"/>
      <c r="E68" s="190">
        <f>'F Elektro'!H1923</f>
        <v>0</v>
      </c>
    </row>
    <row r="69" spans="1:5">
      <c r="A69" s="189">
        <v>4</v>
      </c>
      <c r="B69" s="37" t="s">
        <v>5450</v>
      </c>
      <c r="C69" s="24"/>
      <c r="D69" s="38"/>
      <c r="E69" s="190">
        <f>'F Elektro'!H1924</f>
        <v>0</v>
      </c>
    </row>
    <row r="70" spans="1:5">
      <c r="A70" s="186" t="s">
        <v>5486</v>
      </c>
      <c r="B70" s="39" t="s">
        <v>5488</v>
      </c>
      <c r="C70" s="39"/>
      <c r="D70" s="40"/>
      <c r="E70" s="187">
        <f>SUM(E66:E69)</f>
        <v>0</v>
      </c>
    </row>
    <row r="71" spans="1:5">
      <c r="A71" s="179"/>
      <c r="B71" s="25"/>
      <c r="C71" s="26"/>
      <c r="D71" s="27"/>
      <c r="E71" s="188"/>
    </row>
    <row r="72" spans="1:5">
      <c r="A72" s="181" t="s">
        <v>5490</v>
      </c>
      <c r="B72" s="29" t="s">
        <v>3510</v>
      </c>
      <c r="C72" s="30"/>
      <c r="D72" s="31"/>
      <c r="E72" s="182"/>
    </row>
    <row r="73" spans="1:5">
      <c r="A73" s="200">
        <v>1</v>
      </c>
      <c r="B73" s="37" t="s">
        <v>3511</v>
      </c>
      <c r="C73" s="24"/>
      <c r="D73" s="38"/>
      <c r="E73" s="190">
        <f>'G Krajobraz'!G125</f>
        <v>0</v>
      </c>
    </row>
    <row r="74" spans="1:5">
      <c r="A74" s="189">
        <v>2</v>
      </c>
      <c r="B74" s="37" t="s">
        <v>3512</v>
      </c>
      <c r="C74" s="24"/>
      <c r="D74" s="38"/>
      <c r="E74" s="190">
        <f>'G Krajobraz'!G208</f>
        <v>0</v>
      </c>
    </row>
    <row r="75" spans="1:5">
      <c r="A75" s="189">
        <v>3</v>
      </c>
      <c r="B75" s="37" t="s">
        <v>3513</v>
      </c>
      <c r="C75" s="24"/>
      <c r="D75" s="38"/>
      <c r="E75" s="190">
        <f>'G Krajobraz'!G372</f>
        <v>0</v>
      </c>
    </row>
    <row r="76" spans="1:5">
      <c r="A76" s="189">
        <v>4</v>
      </c>
      <c r="B76" s="37" t="s">
        <v>3514</v>
      </c>
      <c r="C76" s="24"/>
      <c r="D76" s="38"/>
      <c r="E76" s="190">
        <f>'G Krajobraz'!G454</f>
        <v>0</v>
      </c>
    </row>
    <row r="77" spans="1:5">
      <c r="A77" s="189">
        <v>5</v>
      </c>
      <c r="B77" s="37" t="s">
        <v>3515</v>
      </c>
      <c r="C77" s="24"/>
      <c r="D77" s="38"/>
      <c r="E77" s="190">
        <f>'G Krajobraz'!G642</f>
        <v>0</v>
      </c>
    </row>
    <row r="78" spans="1:5">
      <c r="A78" s="189">
        <v>6</v>
      </c>
      <c r="B78" s="37" t="s">
        <v>3516</v>
      </c>
      <c r="C78" s="24"/>
      <c r="D78" s="38"/>
      <c r="E78" s="190">
        <f>'G Krajobraz'!G674</f>
        <v>0</v>
      </c>
    </row>
    <row r="79" spans="1:5">
      <c r="A79" s="189">
        <v>7</v>
      </c>
      <c r="B79" s="37" t="s">
        <v>3517</v>
      </c>
      <c r="C79" s="24"/>
      <c r="D79" s="38"/>
      <c r="E79" s="190">
        <f>'G Krajobraz'!G715</f>
        <v>0</v>
      </c>
    </row>
    <row r="80" spans="1:5">
      <c r="A80" s="189">
        <v>8</v>
      </c>
      <c r="B80" s="37" t="s">
        <v>3518</v>
      </c>
      <c r="C80" s="24"/>
      <c r="D80" s="38"/>
      <c r="E80" s="190">
        <f>'G Krajobraz'!G749</f>
        <v>0</v>
      </c>
    </row>
    <row r="81" spans="1:5">
      <c r="A81" s="189">
        <v>9</v>
      </c>
      <c r="B81" s="37" t="s">
        <v>3519</v>
      </c>
      <c r="C81" s="24"/>
      <c r="D81" s="38"/>
      <c r="E81" s="190">
        <f>'G Krajobraz'!G773</f>
        <v>0</v>
      </c>
    </row>
    <row r="82" spans="1:5">
      <c r="A82" s="189">
        <v>10</v>
      </c>
      <c r="B82" s="37" t="s">
        <v>3520</v>
      </c>
      <c r="C82" s="24"/>
      <c r="D82" s="38"/>
      <c r="E82" s="190">
        <f>'G Krajobraz'!G860</f>
        <v>0</v>
      </c>
    </row>
    <row r="83" spans="1:5">
      <c r="A83" s="189">
        <v>11</v>
      </c>
      <c r="B83" s="37" t="s">
        <v>3521</v>
      </c>
      <c r="C83" s="24"/>
      <c r="D83" s="38"/>
      <c r="E83" s="190">
        <f>'G Krajobraz'!G876</f>
        <v>0</v>
      </c>
    </row>
    <row r="84" spans="1:5">
      <c r="A84" s="189">
        <v>12</v>
      </c>
      <c r="B84" s="37" t="s">
        <v>3522</v>
      </c>
      <c r="C84" s="24"/>
      <c r="D84" s="38"/>
      <c r="E84" s="190">
        <f>'G Krajobraz'!G895</f>
        <v>0</v>
      </c>
    </row>
    <row r="85" spans="1:5">
      <c r="A85" s="189">
        <v>13</v>
      </c>
      <c r="B85" s="37" t="s">
        <v>3523</v>
      </c>
      <c r="C85" s="24"/>
      <c r="D85" s="38"/>
      <c r="E85" s="190">
        <f>'G Krajobraz'!G1026</f>
        <v>0</v>
      </c>
    </row>
    <row r="86" spans="1:5">
      <c r="A86" s="186" t="s">
        <v>5490</v>
      </c>
      <c r="B86" s="39" t="s">
        <v>3524</v>
      </c>
      <c r="C86" s="39"/>
      <c r="D86" s="40"/>
      <c r="E86" s="187">
        <f>SUM(E73:E85)</f>
        <v>0</v>
      </c>
    </row>
    <row r="87" spans="1:5">
      <c r="A87" s="179"/>
      <c r="B87" s="25"/>
      <c r="C87" s="26"/>
      <c r="D87" s="27"/>
      <c r="E87" s="188"/>
    </row>
    <row r="88" spans="1:5">
      <c r="A88" s="202"/>
      <c r="B88" s="42" t="s">
        <v>199</v>
      </c>
      <c r="C88" s="43"/>
      <c r="D88" s="44"/>
      <c r="E88" s="203"/>
    </row>
    <row r="89" spans="1:5">
      <c r="A89" s="189" t="s">
        <v>97</v>
      </c>
      <c r="B89" s="37" t="str">
        <f>B42</f>
        <v>TROŠKOVNIK GRAĐEVINSKIH I OBRTNIČKIH RADOVA UKUPNO</v>
      </c>
      <c r="C89" s="24"/>
      <c r="D89" s="38"/>
      <c r="E89" s="190">
        <f>E42</f>
        <v>0</v>
      </c>
    </row>
    <row r="90" spans="1:5">
      <c r="A90" s="189" t="s">
        <v>4271</v>
      </c>
      <c r="B90" s="37" t="s">
        <v>4274</v>
      </c>
      <c r="C90" s="24"/>
      <c r="D90" s="38"/>
      <c r="E90" s="190">
        <f>E49</f>
        <v>0</v>
      </c>
    </row>
    <row r="91" spans="1:5">
      <c r="A91" s="189" t="s">
        <v>2806</v>
      </c>
      <c r="B91" s="37" t="s">
        <v>3526</v>
      </c>
      <c r="C91" s="24"/>
      <c r="D91" s="38"/>
      <c r="E91" s="190">
        <f>E52</f>
        <v>0</v>
      </c>
    </row>
    <row r="92" spans="1:5">
      <c r="A92" s="189" t="s">
        <v>3848</v>
      </c>
      <c r="B92" s="37" t="s">
        <v>3856</v>
      </c>
      <c r="C92" s="24"/>
      <c r="D92" s="38"/>
      <c r="E92" s="190">
        <f>E60</f>
        <v>0</v>
      </c>
    </row>
    <row r="93" spans="1:5">
      <c r="A93" s="189" t="s">
        <v>3551</v>
      </c>
      <c r="B93" s="37" t="s">
        <v>3552</v>
      </c>
      <c r="C93" s="24"/>
      <c r="D93" s="38"/>
      <c r="E93" s="190">
        <f>E63</f>
        <v>0</v>
      </c>
    </row>
    <row r="94" spans="1:5">
      <c r="A94" s="189" t="s">
        <v>5486</v>
      </c>
      <c r="B94" s="37" t="s">
        <v>5491</v>
      </c>
      <c r="C94" s="24"/>
      <c r="D94" s="38"/>
      <c r="E94" s="190">
        <f>E70</f>
        <v>0</v>
      </c>
    </row>
    <row r="95" spans="1:5">
      <c r="A95" s="189" t="s">
        <v>5490</v>
      </c>
      <c r="B95" s="37" t="s">
        <v>3525</v>
      </c>
      <c r="C95" s="24"/>
      <c r="D95" s="38"/>
      <c r="E95" s="190">
        <f>E86</f>
        <v>0</v>
      </c>
    </row>
    <row r="96" spans="1:5">
      <c r="A96" s="204"/>
      <c r="B96" s="205" t="s">
        <v>201</v>
      </c>
      <c r="C96" s="206"/>
      <c r="D96" s="206"/>
      <c r="E96" s="207">
        <f>SUM(E89:E95)</f>
        <v>0</v>
      </c>
    </row>
    <row r="97" spans="1:5">
      <c r="B97" s="192" t="s">
        <v>202</v>
      </c>
      <c r="E97" s="193">
        <f>E96*0.25</f>
        <v>0</v>
      </c>
    </row>
    <row r="98" spans="1:5">
      <c r="A98" s="208"/>
      <c r="B98" s="209" t="s">
        <v>203</v>
      </c>
      <c r="C98" s="210"/>
      <c r="D98" s="210"/>
      <c r="E98" s="211">
        <f>E96+E97</f>
        <v>0</v>
      </c>
    </row>
    <row r="99" spans="1:5">
      <c r="E99" s="193"/>
    </row>
    <row r="100" spans="1:5">
      <c r="E100" s="193"/>
    </row>
    <row r="101" spans="1:5">
      <c r="E101" s="193"/>
    </row>
  </sheetData>
  <sheetProtection algorithmName="SHA-512" hashValue="+G7YEhIYCNF+YoK83KZ9GLHWxkWnkvozdsYV1i4E//8WteiSccPcD2laEUzADJ0+P5zxHzOfjSHfR0/d5fuEAg==" saltValue="l3tCQGScvnDeuyndqfPxqA==" spinCount="100000" sheet="1" objects="1" scenarios="1"/>
  <pageMargins left="0.70866141732283472" right="0.70866141732283472" top="0.74803149606299213" bottom="0.74803149606299213" header="0.31496062992125984" footer="0.31496062992125984"/>
  <pageSetup paperSize="9" scale="97" orientation="portrait" r:id="rId1"/>
  <headerFooter>
    <oddHeader xml:space="preserve">&amp;L&amp;10Investitor: Hrvatski institut za povijest&amp;C&amp;10REKAPITULACIJA&amp;R&amp;10datum:
lipanj 2025.
</oddHeader>
    <oddFooter>&amp;C&amp;10Građevina:
Palača bogoštovlja i nastave&amp;R&amp;10str.: &amp;P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28"/>
  <sheetViews>
    <sheetView showZeros="0" showRuler="0" topLeftCell="A277" zoomScaleNormal="100" zoomScaleSheetLayoutView="100" workbookViewId="0">
      <selection activeCell="A284" sqref="A284:F284"/>
    </sheetView>
  </sheetViews>
  <sheetFormatPr defaultColWidth="12.7109375" defaultRowHeight="12"/>
  <cols>
    <col min="1" max="1" width="80.42578125" style="217" customWidth="1"/>
    <col min="2" max="2" width="3" style="217" customWidth="1"/>
    <col min="3" max="3" width="12.7109375" style="217"/>
    <col min="4" max="4" width="3.5703125" style="217" customWidth="1"/>
    <col min="5" max="5" width="7" style="217" customWidth="1"/>
    <col min="6" max="6" width="6.42578125" style="217" customWidth="1"/>
    <col min="7" max="16384" width="12.7109375" style="217"/>
  </cols>
  <sheetData>
    <row r="1" spans="1:6">
      <c r="A1" s="214" t="s">
        <v>95</v>
      </c>
      <c r="B1" s="215"/>
      <c r="C1" s="216"/>
      <c r="D1" s="216"/>
      <c r="E1" s="216"/>
      <c r="F1" s="216"/>
    </row>
    <row r="3" spans="1:6">
      <c r="A3" s="215" t="s">
        <v>1642</v>
      </c>
      <c r="B3" s="215"/>
      <c r="C3" s="218"/>
      <c r="D3" s="219"/>
      <c r="E3" s="220"/>
      <c r="F3" s="219"/>
    </row>
    <row r="4" spans="1:6">
      <c r="A4" s="216"/>
      <c r="B4" s="216"/>
      <c r="C4" s="218"/>
      <c r="D4" s="219"/>
      <c r="E4" s="220"/>
      <c r="F4" s="219"/>
    </row>
    <row r="5" spans="1:6" ht="24" customHeight="1">
      <c r="A5" s="221" t="s">
        <v>1643</v>
      </c>
      <c r="B5" s="222"/>
      <c r="C5" s="223"/>
      <c r="D5" s="224"/>
      <c r="E5" s="225"/>
      <c r="F5" s="226"/>
    </row>
    <row r="6" spans="1:6">
      <c r="A6" s="227"/>
      <c r="B6" s="222"/>
      <c r="C6" s="223"/>
      <c r="D6" s="224"/>
      <c r="E6" s="225"/>
      <c r="F6" s="226"/>
    </row>
    <row r="7" spans="1:6" ht="25.15" customHeight="1">
      <c r="A7" s="1655" t="s">
        <v>1644</v>
      </c>
      <c r="B7" s="1655"/>
      <c r="C7" s="1655"/>
      <c r="D7" s="1655"/>
      <c r="E7" s="1655"/>
      <c r="F7" s="1655"/>
    </row>
    <row r="8" spans="1:6">
      <c r="A8" s="1655"/>
      <c r="B8" s="1655"/>
      <c r="C8" s="1655"/>
      <c r="D8" s="1655"/>
      <c r="E8" s="1655"/>
      <c r="F8" s="1655"/>
    </row>
    <row r="9" spans="1:6">
      <c r="A9" s="229"/>
      <c r="B9" s="229"/>
      <c r="C9" s="230"/>
      <c r="D9" s="219"/>
      <c r="E9" s="229"/>
      <c r="F9" s="229"/>
    </row>
    <row r="10" spans="1:6">
      <c r="A10" s="1655" t="s">
        <v>1645</v>
      </c>
      <c r="B10" s="1655"/>
      <c r="C10" s="1655"/>
      <c r="D10" s="1655"/>
      <c r="E10" s="1655"/>
      <c r="F10" s="1655"/>
    </row>
    <row r="11" spans="1:6">
      <c r="A11" s="1656" t="s">
        <v>1646</v>
      </c>
      <c r="B11" s="1656"/>
      <c r="C11" s="1656"/>
      <c r="D11" s="1656"/>
      <c r="E11" s="1656"/>
      <c r="F11" s="1656"/>
    </row>
    <row r="12" spans="1:6">
      <c r="A12" s="1656" t="s">
        <v>1647</v>
      </c>
      <c r="B12" s="1656"/>
      <c r="C12" s="1656"/>
      <c r="D12" s="1656"/>
      <c r="E12" s="1656"/>
      <c r="F12" s="1656"/>
    </row>
    <row r="13" spans="1:6">
      <c r="A13" s="1656" t="s">
        <v>1648</v>
      </c>
      <c r="B13" s="1656"/>
      <c r="C13" s="1656"/>
      <c r="D13" s="1656"/>
      <c r="E13" s="1656"/>
      <c r="F13" s="1656"/>
    </row>
    <row r="14" spans="1:6">
      <c r="A14" s="1656" t="s">
        <v>1649</v>
      </c>
      <c r="B14" s="1656"/>
      <c r="C14" s="1656"/>
      <c r="D14" s="1656"/>
      <c r="E14" s="1656"/>
      <c r="F14" s="1656"/>
    </row>
    <row r="15" spans="1:6">
      <c r="A15" s="1655" t="s">
        <v>1650</v>
      </c>
      <c r="B15" s="1655"/>
      <c r="C15" s="1655"/>
      <c r="D15" s="1655"/>
      <c r="E15" s="1655"/>
      <c r="F15" s="1655"/>
    </row>
    <row r="16" spans="1:6">
      <c r="A16" s="1655" t="s">
        <v>1651</v>
      </c>
      <c r="B16" s="1655"/>
      <c r="C16" s="1655"/>
      <c r="D16" s="1655"/>
      <c r="E16" s="1655"/>
      <c r="F16" s="1655"/>
    </row>
    <row r="17" spans="1:6">
      <c r="A17" s="1656" t="s">
        <v>1652</v>
      </c>
      <c r="B17" s="1656"/>
      <c r="C17" s="1656"/>
      <c r="D17" s="1656"/>
      <c r="E17" s="1656"/>
      <c r="F17" s="1656"/>
    </row>
    <row r="18" spans="1:6" ht="6.75" customHeight="1">
      <c r="A18" s="229"/>
      <c r="B18" s="229"/>
      <c r="C18" s="230"/>
      <c r="D18" s="219"/>
      <c r="E18" s="229"/>
      <c r="F18" s="229"/>
    </row>
    <row r="19" spans="1:6">
      <c r="A19" s="1655" t="s">
        <v>1653</v>
      </c>
      <c r="B19" s="1655"/>
      <c r="C19" s="1655"/>
      <c r="D19" s="1655"/>
      <c r="E19" s="1655"/>
      <c r="F19" s="1655"/>
    </row>
    <row r="20" spans="1:6">
      <c r="A20" s="1655"/>
      <c r="B20" s="1655"/>
      <c r="C20" s="1655"/>
      <c r="D20" s="1655"/>
      <c r="E20" s="1655"/>
      <c r="F20" s="1655"/>
    </row>
    <row r="21" spans="1:6">
      <c r="A21" s="216"/>
      <c r="B21" s="216"/>
      <c r="C21" s="218"/>
      <c r="D21" s="219"/>
      <c r="E21" s="220"/>
      <c r="F21" s="219"/>
    </row>
    <row r="22" spans="1:6" ht="29.25" customHeight="1">
      <c r="A22" s="1657" t="s">
        <v>1654</v>
      </c>
      <c r="B22" s="1655"/>
      <c r="C22" s="1655"/>
      <c r="D22" s="1655"/>
      <c r="E22" s="1655"/>
      <c r="F22" s="1655"/>
    </row>
    <row r="24" spans="1:6">
      <c r="A24" s="221" t="s">
        <v>1655</v>
      </c>
      <c r="B24" s="233"/>
      <c r="C24" s="234"/>
      <c r="D24" s="235"/>
      <c r="E24" s="219"/>
      <c r="F24" s="219"/>
    </row>
    <row r="25" spans="1:6">
      <c r="A25" s="228"/>
      <c r="B25" s="231"/>
      <c r="C25" s="236"/>
      <c r="D25" s="237"/>
      <c r="E25" s="238"/>
      <c r="F25" s="238"/>
    </row>
    <row r="26" spans="1:6" ht="15" customHeight="1">
      <c r="A26" s="1658" t="s">
        <v>1643</v>
      </c>
      <c r="B26" s="1658"/>
      <c r="C26" s="236"/>
      <c r="D26" s="237"/>
      <c r="E26" s="238"/>
      <c r="F26" s="238"/>
    </row>
    <row r="27" spans="1:6" ht="6.75" customHeight="1">
      <c r="A27" s="228"/>
      <c r="B27" s="231"/>
      <c r="C27" s="236"/>
      <c r="D27" s="237"/>
      <c r="E27" s="238"/>
      <c r="F27" s="238"/>
    </row>
    <row r="28" spans="1:6">
      <c r="A28" s="1655" t="s">
        <v>1656</v>
      </c>
      <c r="B28" s="1655"/>
      <c r="C28" s="1655"/>
      <c r="D28" s="1655"/>
      <c r="E28" s="1655"/>
      <c r="F28" s="1655"/>
    </row>
    <row r="29" spans="1:6">
      <c r="A29" s="1655"/>
      <c r="B29" s="1655"/>
      <c r="C29" s="1655"/>
      <c r="D29" s="1655"/>
      <c r="E29" s="1655"/>
      <c r="F29" s="1655"/>
    </row>
    <row r="30" spans="1:6">
      <c r="A30" s="228"/>
      <c r="B30" s="228"/>
      <c r="C30" s="236"/>
      <c r="D30" s="228"/>
      <c r="E30" s="238"/>
      <c r="F30" s="238"/>
    </row>
    <row r="31" spans="1:6">
      <c r="A31" s="1655" t="s">
        <v>1657</v>
      </c>
      <c r="B31" s="1655"/>
      <c r="C31" s="1655"/>
      <c r="D31" s="1655"/>
      <c r="E31" s="1655"/>
      <c r="F31" s="1655"/>
    </row>
    <row r="32" spans="1:6">
      <c r="A32" s="1655"/>
      <c r="B32" s="1655"/>
      <c r="C32" s="1655"/>
      <c r="D32" s="1655"/>
      <c r="E32" s="1655"/>
      <c r="F32" s="1655"/>
    </row>
    <row r="33" spans="1:6">
      <c r="A33" s="1655"/>
      <c r="B33" s="1655"/>
      <c r="C33" s="1655"/>
      <c r="D33" s="1655"/>
      <c r="E33" s="1655"/>
      <c r="F33" s="1655"/>
    </row>
    <row r="34" spans="1:6">
      <c r="A34" s="1655"/>
      <c r="B34" s="1655"/>
      <c r="C34" s="1655"/>
      <c r="D34" s="1655"/>
      <c r="E34" s="1655"/>
      <c r="F34" s="1655"/>
    </row>
    <row r="35" spans="1:6">
      <c r="A35" s="228"/>
      <c r="B35" s="228"/>
      <c r="C35" s="236"/>
      <c r="D35" s="238"/>
      <c r="E35" s="238"/>
      <c r="F35" s="240"/>
    </row>
    <row r="36" spans="1:6">
      <c r="A36" s="1655" t="s">
        <v>1658</v>
      </c>
      <c r="B36" s="1655"/>
      <c r="C36" s="1655"/>
      <c r="D36" s="1655"/>
      <c r="E36" s="1655"/>
      <c r="F36" s="1655"/>
    </row>
    <row r="37" spans="1:6">
      <c r="A37" s="1655"/>
      <c r="B37" s="1655"/>
      <c r="C37" s="1655"/>
      <c r="D37" s="1655"/>
      <c r="E37" s="1655"/>
      <c r="F37" s="1655"/>
    </row>
    <row r="38" spans="1:6">
      <c r="A38" s="228"/>
      <c r="B38" s="228"/>
      <c r="C38" s="236"/>
      <c r="D38" s="238"/>
      <c r="E38" s="238"/>
      <c r="F38" s="240"/>
    </row>
    <row r="39" spans="1:6">
      <c r="A39" s="1655" t="s">
        <v>1659</v>
      </c>
      <c r="B39" s="1655"/>
      <c r="C39" s="1655"/>
      <c r="D39" s="1655"/>
      <c r="E39" s="1655"/>
      <c r="F39" s="1655"/>
    </row>
    <row r="40" spans="1:6">
      <c r="A40" s="1655"/>
      <c r="B40" s="1655"/>
      <c r="C40" s="1655"/>
      <c r="D40" s="1655"/>
      <c r="E40" s="1655"/>
      <c r="F40" s="1655"/>
    </row>
    <row r="41" spans="1:6" ht="14.25" customHeight="1">
      <c r="A41" s="228"/>
      <c r="B41" s="228"/>
      <c r="C41" s="236"/>
      <c r="D41" s="238"/>
      <c r="E41" s="238"/>
      <c r="F41" s="240"/>
    </row>
    <row r="42" spans="1:6">
      <c r="A42" s="1655" t="s">
        <v>1660</v>
      </c>
      <c r="B42" s="1655"/>
      <c r="C42" s="1655"/>
      <c r="D42" s="1655"/>
      <c r="E42" s="1655"/>
      <c r="F42" s="1655"/>
    </row>
    <row r="43" spans="1:6">
      <c r="A43" s="1655"/>
      <c r="B43" s="1655"/>
      <c r="C43" s="1655"/>
      <c r="D43" s="1655"/>
      <c r="E43" s="1655"/>
      <c r="F43" s="1655"/>
    </row>
    <row r="44" spans="1:6">
      <c r="A44" s="1655"/>
      <c r="B44" s="1655"/>
      <c r="C44" s="1655"/>
      <c r="D44" s="1655"/>
      <c r="E44" s="1655"/>
      <c r="F44" s="1655"/>
    </row>
    <row r="45" spans="1:6">
      <c r="A45" s="228"/>
      <c r="B45" s="228"/>
      <c r="C45" s="236"/>
      <c r="D45" s="238"/>
      <c r="E45" s="238"/>
      <c r="F45" s="240"/>
    </row>
    <row r="46" spans="1:6" ht="24.75" customHeight="1">
      <c r="A46" s="1655" t="s">
        <v>1661</v>
      </c>
      <c r="B46" s="1655"/>
      <c r="C46" s="1655"/>
      <c r="D46" s="1655"/>
      <c r="E46" s="1655"/>
      <c r="F46" s="1655"/>
    </row>
    <row r="47" spans="1:6">
      <c r="A47" s="1655"/>
      <c r="B47" s="1655"/>
      <c r="C47" s="1655"/>
      <c r="D47" s="1655"/>
      <c r="E47" s="1655"/>
      <c r="F47" s="1655"/>
    </row>
    <row r="48" spans="1:6">
      <c r="A48" s="228"/>
      <c r="B48" s="228"/>
      <c r="C48" s="236"/>
      <c r="D48" s="238"/>
      <c r="E48" s="238"/>
      <c r="F48" s="240"/>
    </row>
    <row r="49" spans="1:6" ht="15" customHeight="1">
      <c r="A49" s="1655" t="s">
        <v>1662</v>
      </c>
      <c r="B49" s="1655"/>
      <c r="C49" s="1655"/>
      <c r="D49" s="1655"/>
      <c r="E49" s="1655"/>
      <c r="F49" s="1655"/>
    </row>
    <row r="50" spans="1:6">
      <c r="A50" s="1655"/>
      <c r="B50" s="1655"/>
      <c r="C50" s="1655"/>
      <c r="D50" s="1655"/>
      <c r="E50" s="1655"/>
      <c r="F50" s="1655"/>
    </row>
    <row r="51" spans="1:6">
      <c r="A51" s="1655"/>
      <c r="B51" s="1655"/>
      <c r="C51" s="1655"/>
      <c r="D51" s="1655"/>
      <c r="E51" s="1655"/>
      <c r="F51" s="1655"/>
    </row>
    <row r="52" spans="1:6" ht="3.75" customHeight="1">
      <c r="A52" s="228"/>
      <c r="B52" s="228"/>
      <c r="C52" s="236"/>
      <c r="D52" s="238"/>
      <c r="E52" s="238"/>
      <c r="F52" s="240"/>
    </row>
    <row r="53" spans="1:6">
      <c r="A53" s="1655" t="s">
        <v>1663</v>
      </c>
      <c r="B53" s="1655"/>
      <c r="C53" s="1655"/>
      <c r="D53" s="1655"/>
      <c r="E53" s="1655"/>
      <c r="F53" s="1655"/>
    </row>
    <row r="54" spans="1:6">
      <c r="A54" s="1655"/>
      <c r="B54" s="1655"/>
      <c r="C54" s="1655"/>
      <c r="D54" s="1655"/>
      <c r="E54" s="1655"/>
      <c r="F54" s="1655"/>
    </row>
    <row r="55" spans="1:6">
      <c r="A55" s="228"/>
      <c r="B55" s="228"/>
      <c r="C55" s="236"/>
      <c r="D55" s="238"/>
      <c r="E55" s="238"/>
      <c r="F55" s="240"/>
    </row>
    <row r="56" spans="1:6">
      <c r="A56" s="1655" t="s">
        <v>1664</v>
      </c>
      <c r="B56" s="1655"/>
      <c r="C56" s="1655"/>
      <c r="D56" s="1655"/>
      <c r="E56" s="1655"/>
      <c r="F56" s="1655"/>
    </row>
    <row r="57" spans="1:6">
      <c r="A57" s="1655"/>
      <c r="B57" s="1655"/>
      <c r="C57" s="1655"/>
      <c r="D57" s="1655"/>
      <c r="E57" s="1655"/>
      <c r="F57" s="1655"/>
    </row>
    <row r="58" spans="1:6" ht="12.75" customHeight="1">
      <c r="A58" s="228"/>
      <c r="B58" s="228"/>
      <c r="C58" s="236"/>
      <c r="D58" s="238"/>
      <c r="E58" s="238"/>
      <c r="F58" s="240"/>
    </row>
    <row r="59" spans="1:6" ht="13.5" customHeight="1">
      <c r="A59" s="1655" t="s">
        <v>1665</v>
      </c>
      <c r="B59" s="1655"/>
      <c r="C59" s="1655"/>
      <c r="D59" s="1655"/>
      <c r="E59" s="1655"/>
      <c r="F59" s="1655"/>
    </row>
    <row r="60" spans="1:6" ht="14.25" customHeight="1">
      <c r="A60" s="1655"/>
      <c r="B60" s="1655"/>
      <c r="C60" s="1655"/>
      <c r="D60" s="1655"/>
      <c r="E60" s="1655"/>
      <c r="F60" s="1655"/>
    </row>
    <row r="61" spans="1:6" ht="13.5" customHeight="1">
      <c r="A61" s="228"/>
      <c r="B61" s="228"/>
      <c r="C61" s="236"/>
      <c r="D61" s="238"/>
      <c r="E61" s="238"/>
      <c r="F61" s="240"/>
    </row>
    <row r="62" spans="1:6" ht="28.5" customHeight="1">
      <c r="A62" s="1655" t="s">
        <v>1666</v>
      </c>
      <c r="B62" s="1655"/>
      <c r="C62" s="1655"/>
      <c r="D62" s="1655"/>
      <c r="E62" s="1655"/>
      <c r="F62" s="1655"/>
    </row>
    <row r="63" spans="1:6" ht="13.5" customHeight="1">
      <c r="A63" s="228"/>
      <c r="B63" s="228"/>
      <c r="C63" s="236"/>
      <c r="D63" s="238"/>
      <c r="E63" s="238"/>
      <c r="F63" s="240"/>
    </row>
    <row r="64" spans="1:6" ht="14.25" customHeight="1">
      <c r="A64" s="1655" t="s">
        <v>1667</v>
      </c>
      <c r="B64" s="1655"/>
      <c r="C64" s="1655"/>
      <c r="D64" s="1655"/>
      <c r="E64" s="1655"/>
      <c r="F64" s="1655"/>
    </row>
    <row r="65" spans="1:6" ht="14.25" customHeight="1">
      <c r="A65" s="1655"/>
      <c r="B65" s="1655"/>
      <c r="C65" s="1655"/>
      <c r="D65" s="1655"/>
      <c r="E65" s="1655"/>
      <c r="F65" s="1655"/>
    </row>
    <row r="66" spans="1:6" ht="7.5" customHeight="1">
      <c r="A66" s="228"/>
      <c r="B66" s="228"/>
      <c r="C66" s="236"/>
      <c r="D66" s="238"/>
      <c r="E66" s="238"/>
      <c r="F66" s="240"/>
    </row>
    <row r="67" spans="1:6">
      <c r="A67" s="239" t="s">
        <v>1668</v>
      </c>
      <c r="B67" s="228"/>
      <c r="C67" s="236"/>
      <c r="D67" s="238"/>
      <c r="E67" s="238"/>
      <c r="F67" s="240"/>
    </row>
    <row r="68" spans="1:6">
      <c r="A68" s="228"/>
      <c r="B68" s="228"/>
      <c r="C68" s="236"/>
      <c r="D68" s="238"/>
      <c r="E68" s="238"/>
      <c r="F68" s="240"/>
    </row>
    <row r="69" spans="1:6">
      <c r="A69" s="1655" t="s">
        <v>1669</v>
      </c>
      <c r="B69" s="1655"/>
      <c r="C69" s="1655"/>
      <c r="D69" s="1655"/>
      <c r="E69" s="1655"/>
      <c r="F69" s="1655"/>
    </row>
    <row r="70" spans="1:6">
      <c r="A70" s="1655"/>
      <c r="B70" s="1655"/>
      <c r="C70" s="1655"/>
      <c r="D70" s="1655"/>
      <c r="E70" s="1655"/>
      <c r="F70" s="1655"/>
    </row>
    <row r="71" spans="1:6">
      <c r="A71" s="228"/>
      <c r="B71" s="228"/>
      <c r="C71" s="236"/>
      <c r="D71" s="238"/>
      <c r="E71" s="238"/>
      <c r="F71" s="228"/>
    </row>
    <row r="72" spans="1:6">
      <c r="A72" s="1655" t="s">
        <v>1670</v>
      </c>
      <c r="B72" s="1655"/>
      <c r="C72" s="1655"/>
      <c r="D72" s="1655"/>
      <c r="E72" s="1655"/>
      <c r="F72" s="1655"/>
    </row>
    <row r="73" spans="1:6">
      <c r="A73" s="228"/>
      <c r="B73" s="228"/>
      <c r="C73" s="236"/>
      <c r="D73" s="238"/>
      <c r="E73" s="238"/>
      <c r="F73" s="240"/>
    </row>
    <row r="74" spans="1:6">
      <c r="A74" s="1655" t="s">
        <v>1671</v>
      </c>
      <c r="B74" s="1655"/>
      <c r="C74" s="1655"/>
      <c r="D74" s="1655"/>
      <c r="E74" s="1655"/>
      <c r="F74" s="240"/>
    </row>
    <row r="75" spans="1:6">
      <c r="A75" s="228"/>
      <c r="B75" s="228"/>
      <c r="C75" s="236"/>
      <c r="D75" s="238"/>
      <c r="E75" s="238"/>
      <c r="F75" s="240"/>
    </row>
    <row r="76" spans="1:6" ht="27" customHeight="1">
      <c r="A76" s="1655" t="s">
        <v>1672</v>
      </c>
      <c r="B76" s="1655"/>
      <c r="C76" s="1655"/>
      <c r="D76" s="1655"/>
      <c r="E76" s="1655"/>
      <c r="F76" s="1655"/>
    </row>
    <row r="77" spans="1:6" hidden="1">
      <c r="A77" s="1655"/>
      <c r="B77" s="1655"/>
      <c r="C77" s="1655"/>
      <c r="D77" s="1655"/>
      <c r="E77" s="1655"/>
      <c r="F77" s="1655"/>
    </row>
    <row r="78" spans="1:6">
      <c r="A78" s="228"/>
      <c r="B78" s="228"/>
      <c r="C78" s="236"/>
      <c r="D78" s="238"/>
      <c r="E78" s="238"/>
      <c r="F78" s="240"/>
    </row>
    <row r="79" spans="1:6">
      <c r="A79" s="1655" t="s">
        <v>1673</v>
      </c>
      <c r="B79" s="1655"/>
      <c r="C79" s="1655"/>
      <c r="D79" s="1655"/>
      <c r="E79" s="1655"/>
      <c r="F79" s="1655"/>
    </row>
    <row r="80" spans="1:6">
      <c r="A80" s="1655"/>
      <c r="B80" s="1655"/>
      <c r="C80" s="1655"/>
      <c r="D80" s="1655"/>
      <c r="E80" s="1655"/>
      <c r="F80" s="1655"/>
    </row>
    <row r="81" spans="1:6">
      <c r="A81" s="228"/>
      <c r="B81" s="228"/>
      <c r="C81" s="236"/>
      <c r="D81" s="238"/>
      <c r="E81" s="238"/>
      <c r="F81" s="240"/>
    </row>
    <row r="82" spans="1:6">
      <c r="A82" s="1655" t="s">
        <v>1674</v>
      </c>
      <c r="B82" s="1655"/>
      <c r="C82" s="1655"/>
      <c r="D82" s="1655"/>
      <c r="E82" s="1655"/>
      <c r="F82" s="1655"/>
    </row>
    <row r="83" spans="1:6" ht="27" customHeight="1">
      <c r="A83" s="1655"/>
      <c r="B83" s="1655"/>
      <c r="C83" s="1655"/>
      <c r="D83" s="1655"/>
      <c r="E83" s="1655"/>
      <c r="F83" s="1655"/>
    </row>
    <row r="84" spans="1:6">
      <c r="A84" s="228"/>
      <c r="B84" s="228"/>
      <c r="C84" s="236"/>
      <c r="D84" s="238"/>
      <c r="E84" s="238"/>
      <c r="F84" s="240"/>
    </row>
    <row r="85" spans="1:6" ht="15" customHeight="1">
      <c r="A85" s="1656" t="s">
        <v>1675</v>
      </c>
      <c r="B85" s="1656"/>
      <c r="C85" s="1656"/>
      <c r="D85" s="1656"/>
      <c r="E85" s="1656"/>
      <c r="F85" s="1656"/>
    </row>
    <row r="86" spans="1:6">
      <c r="A86" s="241"/>
      <c r="B86" s="231"/>
      <c r="C86" s="229"/>
      <c r="D86" s="219"/>
      <c r="E86" s="219"/>
      <c r="F86" s="231"/>
    </row>
    <row r="87" spans="1:6">
      <c r="A87" s="1656" t="s">
        <v>1676</v>
      </c>
      <c r="B87" s="1656"/>
      <c r="C87" s="1656"/>
      <c r="D87" s="1656"/>
      <c r="E87" s="1656"/>
      <c r="F87" s="1656"/>
    </row>
    <row r="88" spans="1:6">
      <c r="A88" s="1656" t="s">
        <v>1677</v>
      </c>
      <c r="B88" s="1656"/>
      <c r="C88" s="1656"/>
      <c r="D88" s="1656"/>
      <c r="E88" s="1656"/>
      <c r="F88" s="1656"/>
    </row>
    <row r="89" spans="1:6">
      <c r="A89" s="1656" t="s">
        <v>1678</v>
      </c>
      <c r="B89" s="1656"/>
      <c r="C89" s="1656"/>
      <c r="D89" s="1656"/>
      <c r="E89" s="1656"/>
      <c r="F89" s="1656"/>
    </row>
    <row r="90" spans="1:6">
      <c r="A90" s="1656" t="s">
        <v>1679</v>
      </c>
      <c r="B90" s="1656"/>
      <c r="C90" s="1656"/>
      <c r="D90" s="1656"/>
      <c r="E90" s="1656"/>
      <c r="F90" s="1656"/>
    </row>
    <row r="91" spans="1:6">
      <c r="A91" s="1656" t="s">
        <v>1680</v>
      </c>
      <c r="B91" s="1656"/>
      <c r="C91" s="1656"/>
      <c r="D91" s="1656"/>
      <c r="E91" s="1656"/>
      <c r="F91" s="1656"/>
    </row>
    <row r="92" spans="1:6">
      <c r="A92" s="1656" t="s">
        <v>1681</v>
      </c>
      <c r="B92" s="1656"/>
      <c r="C92" s="1656"/>
      <c r="D92" s="1656"/>
      <c r="E92" s="1656"/>
      <c r="F92" s="1656"/>
    </row>
    <row r="93" spans="1:6">
      <c r="A93" s="1656" t="s">
        <v>1682</v>
      </c>
      <c r="B93" s="1656"/>
      <c r="C93" s="1656"/>
      <c r="D93" s="1656"/>
      <c r="E93" s="1656"/>
      <c r="F93" s="1656"/>
    </row>
    <row r="94" spans="1:6">
      <c r="A94" s="1659" t="s">
        <v>1683</v>
      </c>
      <c r="B94" s="1656"/>
      <c r="C94" s="1656"/>
      <c r="D94" s="1656"/>
      <c r="E94" s="1656"/>
      <c r="F94" s="1656"/>
    </row>
    <row r="95" spans="1:6">
      <c r="A95" s="228"/>
      <c r="B95" s="228"/>
      <c r="C95" s="236"/>
      <c r="D95" s="238"/>
      <c r="E95" s="238"/>
      <c r="F95" s="240"/>
    </row>
    <row r="96" spans="1:6">
      <c r="A96" s="1658" t="s">
        <v>1684</v>
      </c>
      <c r="B96" s="1658"/>
      <c r="C96" s="236"/>
      <c r="D96" s="238"/>
      <c r="E96" s="238"/>
      <c r="F96" s="240"/>
    </row>
    <row r="97" spans="1:6">
      <c r="A97" s="228"/>
      <c r="B97" s="228"/>
      <c r="C97" s="236"/>
      <c r="D97" s="238"/>
      <c r="E97" s="238"/>
      <c r="F97" s="240"/>
    </row>
    <row r="98" spans="1:6">
      <c r="A98" s="1655" t="s">
        <v>1685</v>
      </c>
      <c r="B98" s="1655"/>
      <c r="C98" s="1655"/>
      <c r="D98" s="1655"/>
      <c r="E98" s="1655"/>
      <c r="F98" s="240"/>
    </row>
    <row r="99" spans="1:6">
      <c r="A99" s="1655" t="s">
        <v>1686</v>
      </c>
      <c r="B99" s="1655"/>
      <c r="C99" s="1655"/>
      <c r="D99" s="1655"/>
      <c r="E99" s="1655"/>
      <c r="F99" s="240"/>
    </row>
    <row r="100" spans="1:6">
      <c r="A100" s="228"/>
      <c r="B100" s="228"/>
      <c r="C100" s="236"/>
      <c r="D100" s="238"/>
      <c r="E100" s="238"/>
      <c r="F100" s="240"/>
    </row>
    <row r="101" spans="1:6">
      <c r="A101" s="1655" t="s">
        <v>1687</v>
      </c>
      <c r="B101" s="1655"/>
      <c r="C101" s="1655"/>
      <c r="D101" s="1655"/>
      <c r="E101" s="1655"/>
      <c r="F101" s="1655"/>
    </row>
    <row r="102" spans="1:6">
      <c r="A102" s="1655"/>
      <c r="B102" s="1655"/>
      <c r="C102" s="1655"/>
      <c r="D102" s="1655"/>
      <c r="E102" s="1655"/>
      <c r="F102" s="1655"/>
    </row>
    <row r="103" spans="1:6">
      <c r="A103" s="242"/>
      <c r="B103" s="240"/>
      <c r="C103" s="240"/>
      <c r="D103" s="219"/>
      <c r="E103" s="219"/>
      <c r="F103" s="240"/>
    </row>
    <row r="104" spans="1:6">
      <c r="A104" s="1656" t="s">
        <v>1688</v>
      </c>
      <c r="B104" s="1656"/>
      <c r="C104" s="1656"/>
      <c r="D104" s="1656"/>
      <c r="E104" s="1656"/>
      <c r="F104" s="1656"/>
    </row>
    <row r="105" spans="1:6">
      <c r="A105" s="1656" t="s">
        <v>1689</v>
      </c>
      <c r="B105" s="1656"/>
      <c r="C105" s="1656"/>
      <c r="D105" s="1656"/>
      <c r="E105" s="1656"/>
      <c r="F105" s="1656"/>
    </row>
    <row r="106" spans="1:6">
      <c r="A106" s="1656" t="s">
        <v>1690</v>
      </c>
      <c r="B106" s="1656"/>
      <c r="C106" s="1656"/>
      <c r="D106" s="1656"/>
      <c r="E106" s="1656"/>
      <c r="F106" s="1656"/>
    </row>
    <row r="107" spans="1:6">
      <c r="A107" s="1655" t="s">
        <v>1691</v>
      </c>
      <c r="B107" s="1655"/>
      <c r="C107" s="1655"/>
      <c r="D107" s="1655"/>
      <c r="E107" s="1655"/>
      <c r="F107" s="1655"/>
    </row>
    <row r="108" spans="1:6">
      <c r="A108" s="1655"/>
      <c r="B108" s="1655"/>
      <c r="C108" s="1655"/>
      <c r="D108" s="1655"/>
      <c r="E108" s="1655"/>
      <c r="F108" s="1655"/>
    </row>
    <row r="109" spans="1:6">
      <c r="A109" s="1656" t="s">
        <v>1679</v>
      </c>
      <c r="B109" s="1656"/>
      <c r="C109" s="1656"/>
      <c r="D109" s="1656"/>
      <c r="E109" s="1656"/>
      <c r="F109" s="1656"/>
    </row>
    <row r="110" spans="1:6">
      <c r="A110" s="1656" t="s">
        <v>1692</v>
      </c>
      <c r="B110" s="1656"/>
      <c r="C110" s="1656"/>
      <c r="D110" s="1656"/>
      <c r="E110" s="1656"/>
      <c r="F110" s="1656"/>
    </row>
    <row r="111" spans="1:6">
      <c r="A111" s="1656" t="s">
        <v>1693</v>
      </c>
      <c r="B111" s="1656"/>
      <c r="C111" s="1656"/>
      <c r="D111" s="1656"/>
      <c r="E111" s="1656"/>
      <c r="F111" s="1656"/>
    </row>
    <row r="112" spans="1:6">
      <c r="A112" s="241"/>
      <c r="B112" s="231"/>
      <c r="C112" s="229"/>
      <c r="D112" s="219"/>
      <c r="E112" s="219"/>
      <c r="F112" s="231"/>
    </row>
    <row r="113" spans="1:6">
      <c r="A113" s="233" t="s">
        <v>1694</v>
      </c>
      <c r="B113" s="231"/>
      <c r="C113" s="229"/>
      <c r="D113" s="219"/>
      <c r="E113" s="219"/>
      <c r="F113" s="231"/>
    </row>
    <row r="114" spans="1:6">
      <c r="A114" s="241"/>
      <c r="B114" s="231"/>
      <c r="C114" s="229"/>
      <c r="D114" s="219"/>
      <c r="E114" s="219"/>
      <c r="F114" s="231"/>
    </row>
    <row r="115" spans="1:6">
      <c r="A115" s="1655" t="s">
        <v>1695</v>
      </c>
      <c r="B115" s="1655"/>
      <c r="C115" s="1655"/>
      <c r="D115" s="1655"/>
      <c r="E115" s="1655"/>
      <c r="F115" s="1655"/>
    </row>
    <row r="116" spans="1:6" ht="6.75" customHeight="1">
      <c r="A116" s="1655"/>
      <c r="B116" s="1655"/>
      <c r="C116" s="1655"/>
      <c r="D116" s="1655"/>
      <c r="E116" s="1655"/>
      <c r="F116" s="1655"/>
    </row>
    <row r="117" spans="1:6">
      <c r="A117" s="241"/>
      <c r="B117" s="231"/>
      <c r="C117" s="229"/>
      <c r="D117" s="219"/>
      <c r="E117" s="219"/>
      <c r="F117" s="231"/>
    </row>
    <row r="118" spans="1:6">
      <c r="A118" s="1655" t="s">
        <v>1696</v>
      </c>
      <c r="B118" s="1655"/>
      <c r="C118" s="1655"/>
      <c r="D118" s="1655"/>
      <c r="E118" s="1655"/>
      <c r="F118" s="1655"/>
    </row>
    <row r="119" spans="1:6">
      <c r="A119" s="1655"/>
      <c r="B119" s="1655"/>
      <c r="C119" s="1655"/>
      <c r="D119" s="1655"/>
      <c r="E119" s="1655"/>
      <c r="F119" s="1655"/>
    </row>
    <row r="120" spans="1:6">
      <c r="A120" s="241"/>
      <c r="B120" s="231"/>
      <c r="C120" s="229"/>
      <c r="D120" s="219"/>
      <c r="E120" s="219"/>
      <c r="F120" s="231"/>
    </row>
    <row r="121" spans="1:6">
      <c r="A121" s="1656" t="s">
        <v>1697</v>
      </c>
      <c r="B121" s="1656"/>
      <c r="C121" s="1656"/>
      <c r="D121" s="1656"/>
      <c r="E121" s="1656"/>
      <c r="F121" s="1656"/>
    </row>
    <row r="122" spans="1:6">
      <c r="A122" s="241"/>
      <c r="B122" s="231"/>
      <c r="C122" s="229"/>
      <c r="D122" s="219"/>
      <c r="E122" s="219"/>
      <c r="F122" s="231"/>
    </row>
    <row r="123" spans="1:6">
      <c r="A123" s="1660" t="s">
        <v>1698</v>
      </c>
      <c r="B123" s="1660"/>
      <c r="C123" s="1660"/>
      <c r="D123" s="1660"/>
      <c r="E123" s="1660"/>
      <c r="F123" s="1660"/>
    </row>
    <row r="124" spans="1:6">
      <c r="A124" s="241"/>
      <c r="B124" s="231"/>
      <c r="C124" s="229"/>
      <c r="D124" s="219"/>
      <c r="E124" s="219"/>
      <c r="F124" s="231"/>
    </row>
    <row r="125" spans="1:6">
      <c r="A125" s="1656" t="s">
        <v>1699</v>
      </c>
      <c r="B125" s="1656"/>
      <c r="C125" s="1656"/>
      <c r="D125" s="1656"/>
      <c r="E125" s="1656"/>
      <c r="F125" s="1656"/>
    </row>
    <row r="126" spans="1:6">
      <c r="A126" s="241"/>
      <c r="B126" s="231"/>
      <c r="C126" s="229"/>
      <c r="D126" s="219"/>
      <c r="E126" s="219"/>
      <c r="F126" s="231"/>
    </row>
    <row r="127" spans="1:6">
      <c r="A127" s="1656" t="s">
        <v>1700</v>
      </c>
      <c r="B127" s="1656"/>
      <c r="C127" s="1656"/>
      <c r="D127" s="1656"/>
      <c r="E127" s="1656"/>
      <c r="F127" s="1656"/>
    </row>
    <row r="128" spans="1:6">
      <c r="A128" s="1656" t="s">
        <v>1701</v>
      </c>
      <c r="B128" s="1656"/>
      <c r="C128" s="1656"/>
      <c r="D128" s="1656"/>
      <c r="E128" s="1656"/>
      <c r="F128" s="1656"/>
    </row>
    <row r="129" spans="1:6">
      <c r="A129" s="1656" t="s">
        <v>1702</v>
      </c>
      <c r="B129" s="1656"/>
      <c r="C129" s="1656"/>
      <c r="D129" s="1656"/>
      <c r="E129" s="1656"/>
      <c r="F129" s="1656"/>
    </row>
    <row r="130" spans="1:6">
      <c r="A130" s="1656" t="s">
        <v>1703</v>
      </c>
      <c r="B130" s="1656"/>
      <c r="C130" s="1656"/>
      <c r="D130" s="1656"/>
      <c r="E130" s="1656"/>
      <c r="F130" s="1656"/>
    </row>
    <row r="131" spans="1:6">
      <c r="A131" s="1656" t="s">
        <v>1704</v>
      </c>
      <c r="B131" s="1656"/>
      <c r="C131" s="1656"/>
      <c r="D131" s="1656"/>
      <c r="E131" s="1656"/>
      <c r="F131" s="1656"/>
    </row>
    <row r="132" spans="1:6">
      <c r="A132" s="1656" t="s">
        <v>1705</v>
      </c>
      <c r="B132" s="1656"/>
      <c r="C132" s="1656"/>
      <c r="D132" s="1656"/>
      <c r="E132" s="1656"/>
      <c r="F132" s="1656"/>
    </row>
    <row r="133" spans="1:6">
      <c r="A133" s="1656" t="s">
        <v>1679</v>
      </c>
      <c r="B133" s="1656"/>
      <c r="C133" s="1656"/>
      <c r="D133" s="1656"/>
      <c r="E133" s="1656"/>
      <c r="F133" s="1656"/>
    </row>
    <row r="134" spans="1:6">
      <c r="A134" s="1656" t="s">
        <v>1706</v>
      </c>
      <c r="B134" s="1656"/>
      <c r="C134" s="1656"/>
      <c r="D134" s="1656"/>
      <c r="E134" s="1656"/>
      <c r="F134" s="1656"/>
    </row>
    <row r="135" spans="1:6">
      <c r="A135" s="1655" t="s">
        <v>1707</v>
      </c>
      <c r="B135" s="1655"/>
      <c r="C135" s="1655"/>
      <c r="D135" s="1655"/>
      <c r="E135" s="1655"/>
      <c r="F135" s="1655"/>
    </row>
    <row r="136" spans="1:6">
      <c r="A136" s="1655"/>
      <c r="B136" s="1655"/>
      <c r="C136" s="1655"/>
      <c r="D136" s="1655"/>
      <c r="E136" s="1655"/>
      <c r="F136" s="1655"/>
    </row>
    <row r="137" spans="1:6">
      <c r="A137" s="1656" t="s">
        <v>1708</v>
      </c>
      <c r="B137" s="1656"/>
      <c r="C137" s="1656"/>
      <c r="D137" s="1656"/>
      <c r="E137" s="1656"/>
      <c r="F137" s="1656"/>
    </row>
    <row r="138" spans="1:6">
      <c r="A138" s="1656" t="s">
        <v>1709</v>
      </c>
      <c r="B138" s="1656"/>
      <c r="C138" s="1656"/>
      <c r="D138" s="1656"/>
      <c r="E138" s="1656"/>
      <c r="F138" s="1656"/>
    </row>
    <row r="140" spans="1:6">
      <c r="A140" s="214" t="s">
        <v>1710</v>
      </c>
      <c r="B140" s="244"/>
      <c r="C140" s="245"/>
      <c r="D140" s="220"/>
      <c r="E140" s="219"/>
      <c r="F140" s="246"/>
    </row>
    <row r="141" spans="1:6">
      <c r="A141" s="247"/>
      <c r="B141" s="248"/>
      <c r="C141" s="245"/>
      <c r="D141" s="220"/>
      <c r="E141" s="219"/>
      <c r="F141" s="246"/>
    </row>
    <row r="142" spans="1:6">
      <c r="A142" s="1657" t="s">
        <v>1711</v>
      </c>
      <c r="B142" s="1657"/>
      <c r="C142" s="1657"/>
      <c r="D142" s="1657"/>
      <c r="E142" s="1657"/>
      <c r="F142" s="1657"/>
    </row>
    <row r="143" spans="1:6">
      <c r="A143" s="249"/>
      <c r="C143" s="250"/>
      <c r="D143" s="251"/>
      <c r="E143" s="252"/>
      <c r="F143" s="246"/>
    </row>
    <row r="144" spans="1:6" ht="24.75" customHeight="1">
      <c r="A144" s="1657" t="s">
        <v>1712</v>
      </c>
      <c r="B144" s="1657"/>
      <c r="C144" s="1657"/>
      <c r="D144" s="1657"/>
      <c r="E144" s="1657"/>
      <c r="F144" s="1657"/>
    </row>
    <row r="145" spans="1:6" ht="28.5" customHeight="1">
      <c r="A145" s="1657" t="s">
        <v>1713</v>
      </c>
      <c r="B145" s="1657"/>
      <c r="C145" s="1657"/>
      <c r="D145" s="1657"/>
      <c r="E145" s="1657"/>
      <c r="F145" s="1657"/>
    </row>
    <row r="146" spans="1:6">
      <c r="A146" s="249"/>
      <c r="C146" s="250"/>
      <c r="D146" s="251"/>
      <c r="E146" s="252"/>
      <c r="F146" s="246"/>
    </row>
    <row r="147" spans="1:6" ht="30" customHeight="1">
      <c r="A147" s="1662" t="s">
        <v>1714</v>
      </c>
      <c r="B147" s="1662"/>
      <c r="C147" s="1662"/>
      <c r="D147" s="1662"/>
      <c r="E147" s="1662"/>
      <c r="F147" s="1662"/>
    </row>
    <row r="148" spans="1:6">
      <c r="A148" s="1657" t="s">
        <v>1715</v>
      </c>
      <c r="B148" s="1657"/>
      <c r="C148" s="1657"/>
      <c r="D148" s="1657"/>
      <c r="E148" s="1657"/>
      <c r="F148" s="1657"/>
    </row>
    <row r="149" spans="1:6" ht="27" customHeight="1">
      <c r="A149" s="1657" t="s">
        <v>1716</v>
      </c>
      <c r="B149" s="1657"/>
      <c r="C149" s="1657"/>
      <c r="D149" s="1657"/>
      <c r="E149" s="1657"/>
      <c r="F149" s="1657"/>
    </row>
    <row r="150" spans="1:6" ht="13.5" customHeight="1">
      <c r="A150" s="249"/>
      <c r="C150" s="250"/>
      <c r="D150" s="251"/>
      <c r="E150" s="252"/>
      <c r="F150" s="246"/>
    </row>
    <row r="151" spans="1:6">
      <c r="A151" s="1657" t="s">
        <v>1717</v>
      </c>
      <c r="B151" s="1657"/>
      <c r="C151" s="1657"/>
      <c r="D151" s="1657"/>
      <c r="E151" s="1657"/>
      <c r="F151" s="1657"/>
    </row>
    <row r="152" spans="1:6" ht="25.5" customHeight="1">
      <c r="A152" s="1657" t="s">
        <v>1718</v>
      </c>
      <c r="B152" s="1657"/>
      <c r="C152" s="1657"/>
      <c r="D152" s="1657"/>
      <c r="E152" s="1657"/>
      <c r="F152" s="1657"/>
    </row>
    <row r="153" spans="1:6">
      <c r="A153" s="249"/>
      <c r="C153" s="250"/>
      <c r="D153" s="251"/>
      <c r="E153" s="252"/>
      <c r="F153" s="246"/>
    </row>
    <row r="154" spans="1:6" ht="26.25" customHeight="1">
      <c r="A154" s="1657" t="s">
        <v>1719</v>
      </c>
      <c r="B154" s="1657"/>
      <c r="C154" s="1657"/>
      <c r="D154" s="1657"/>
      <c r="E154" s="1657"/>
      <c r="F154" s="1657"/>
    </row>
    <row r="155" spans="1:6">
      <c r="A155" s="249"/>
      <c r="C155" s="250"/>
      <c r="D155" s="251"/>
      <c r="E155" s="252"/>
      <c r="F155" s="246"/>
    </row>
    <row r="156" spans="1:6" ht="25.5" customHeight="1">
      <c r="A156" s="1658" t="s">
        <v>1720</v>
      </c>
      <c r="B156" s="1658"/>
      <c r="C156" s="1658"/>
      <c r="D156" s="1658"/>
      <c r="E156" s="1658"/>
      <c r="F156" s="1658"/>
    </row>
    <row r="157" spans="1:6">
      <c r="A157" s="249"/>
      <c r="C157" s="250"/>
      <c r="D157" s="251"/>
      <c r="E157" s="252"/>
      <c r="F157" s="246"/>
    </row>
    <row r="158" spans="1:6" ht="25.5" customHeight="1">
      <c r="A158" s="1657" t="s">
        <v>1721</v>
      </c>
      <c r="B158" s="1657"/>
      <c r="C158" s="1657"/>
      <c r="D158" s="1657"/>
      <c r="E158" s="1657"/>
      <c r="F158" s="1657"/>
    </row>
    <row r="160" spans="1:6">
      <c r="A160" s="253" t="s">
        <v>1722</v>
      </c>
      <c r="B160" s="254"/>
      <c r="C160" s="255"/>
      <c r="D160" s="256"/>
      <c r="E160" s="257"/>
      <c r="F160" s="257"/>
    </row>
    <row r="161" spans="1:6">
      <c r="A161" s="258"/>
      <c r="B161" s="259"/>
      <c r="C161" s="255"/>
      <c r="D161" s="260"/>
      <c r="E161" s="257"/>
      <c r="F161" s="257"/>
    </row>
    <row r="162" spans="1:6">
      <c r="A162" s="1661" t="s">
        <v>1643</v>
      </c>
      <c r="B162" s="1661"/>
      <c r="C162" s="255"/>
      <c r="D162" s="260"/>
      <c r="E162" s="257"/>
      <c r="F162" s="257"/>
    </row>
    <row r="163" spans="1:6">
      <c r="A163" s="258"/>
      <c r="B163" s="259"/>
      <c r="C163" s="255"/>
      <c r="D163" s="260"/>
      <c r="E163" s="257"/>
      <c r="F163" s="257"/>
    </row>
    <row r="164" spans="1:6">
      <c r="A164" s="1665" t="s">
        <v>1723</v>
      </c>
      <c r="B164" s="1665"/>
      <c r="C164" s="1665"/>
      <c r="D164" s="1665"/>
      <c r="E164" s="1665"/>
      <c r="F164" s="1665"/>
    </row>
    <row r="165" spans="1:6">
      <c r="A165" s="1665" t="s">
        <v>1724</v>
      </c>
      <c r="B165" s="1665"/>
      <c r="C165" s="1665"/>
      <c r="D165" s="1665"/>
      <c r="E165" s="1665"/>
      <c r="F165" s="1665"/>
    </row>
    <row r="166" spans="1:6">
      <c r="A166" s="261"/>
      <c r="B166" s="261"/>
      <c r="C166" s="261"/>
      <c r="D166" s="261"/>
      <c r="E166" s="261"/>
      <c r="F166" s="261"/>
    </row>
    <row r="167" spans="1:6" ht="29.25" customHeight="1">
      <c r="A167" s="1655" t="s">
        <v>1725</v>
      </c>
      <c r="B167" s="1655"/>
      <c r="C167" s="1655"/>
      <c r="D167" s="1655"/>
      <c r="E167" s="1655"/>
      <c r="F167" s="1655"/>
    </row>
    <row r="168" spans="1:6">
      <c r="A168" s="228"/>
      <c r="B168" s="228"/>
      <c r="C168" s="228"/>
      <c r="D168" s="228"/>
      <c r="E168" s="228"/>
      <c r="F168" s="228"/>
    </row>
    <row r="169" spans="1:6" ht="66" customHeight="1">
      <c r="A169" s="1655" t="s">
        <v>1726</v>
      </c>
      <c r="B169" s="1655"/>
      <c r="C169" s="1655"/>
      <c r="D169" s="1655"/>
      <c r="E169" s="1655"/>
      <c r="F169" s="1655"/>
    </row>
    <row r="170" spans="1:6">
      <c r="A170" s="228"/>
      <c r="B170" s="228"/>
      <c r="C170" s="228"/>
      <c r="D170" s="228"/>
      <c r="E170" s="228"/>
      <c r="F170" s="228"/>
    </row>
    <row r="171" spans="1:6" ht="28.5" customHeight="1">
      <c r="A171" s="1655" t="s">
        <v>1727</v>
      </c>
      <c r="B171" s="1655"/>
      <c r="C171" s="1655"/>
      <c r="D171" s="1655"/>
      <c r="E171" s="1655"/>
      <c r="F171" s="1655"/>
    </row>
    <row r="172" spans="1:6">
      <c r="A172" s="228"/>
      <c r="B172" s="228"/>
      <c r="C172" s="228"/>
      <c r="D172" s="228"/>
      <c r="E172" s="228"/>
      <c r="F172" s="228"/>
    </row>
    <row r="173" spans="1:6" ht="30.75" customHeight="1">
      <c r="A173" s="1655" t="s">
        <v>1728</v>
      </c>
      <c r="B173" s="1655"/>
      <c r="C173" s="1655"/>
      <c r="D173" s="1655"/>
      <c r="E173" s="1655"/>
      <c r="F173" s="1655"/>
    </row>
    <row r="174" spans="1:6">
      <c r="A174" s="228"/>
      <c r="B174" s="228"/>
      <c r="C174" s="228"/>
      <c r="D174" s="228"/>
      <c r="E174" s="228"/>
      <c r="F174" s="228"/>
    </row>
    <row r="175" spans="1:6" ht="42" customHeight="1">
      <c r="A175" s="1655" t="s">
        <v>1729</v>
      </c>
      <c r="B175" s="1655"/>
      <c r="C175" s="1655"/>
      <c r="D175" s="1655"/>
      <c r="E175" s="1655"/>
      <c r="F175" s="1655"/>
    </row>
    <row r="176" spans="1:6" ht="15" customHeight="1">
      <c r="A176" s="228"/>
      <c r="B176" s="228"/>
      <c r="C176" s="228"/>
      <c r="D176" s="228"/>
      <c r="E176" s="228"/>
      <c r="F176" s="228"/>
    </row>
    <row r="177" spans="1:6" ht="28.5" customHeight="1">
      <c r="A177" s="1655" t="s">
        <v>1730</v>
      </c>
      <c r="B177" s="1655"/>
      <c r="C177" s="1655"/>
      <c r="D177" s="1655"/>
      <c r="E177" s="1655"/>
      <c r="F177" s="1655"/>
    </row>
    <row r="178" spans="1:6" ht="14.25" customHeight="1">
      <c r="A178" s="258"/>
      <c r="B178" s="262"/>
      <c r="C178" s="262"/>
      <c r="D178" s="263"/>
      <c r="E178" s="264"/>
      <c r="F178" s="264"/>
    </row>
    <row r="179" spans="1:6" ht="12.75" customHeight="1">
      <c r="A179" s="253" t="s">
        <v>1731</v>
      </c>
      <c r="B179" s="233"/>
      <c r="C179" s="265"/>
      <c r="D179" s="219"/>
      <c r="E179" s="219"/>
      <c r="F179" s="219"/>
    </row>
    <row r="180" spans="1:6" ht="14.25" customHeight="1">
      <c r="A180" s="266"/>
      <c r="B180" s="231"/>
      <c r="C180" s="265"/>
      <c r="D180" s="219"/>
      <c r="E180" s="219"/>
      <c r="F180" s="219"/>
    </row>
    <row r="181" spans="1:6" ht="15" customHeight="1">
      <c r="A181" s="1663" t="s">
        <v>1643</v>
      </c>
      <c r="B181" s="1663"/>
      <c r="C181" s="265"/>
      <c r="D181" s="219"/>
      <c r="E181" s="219"/>
      <c r="F181" s="219"/>
    </row>
    <row r="182" spans="1:6" ht="14.25" customHeight="1">
      <c r="A182" s="266"/>
      <c r="B182" s="231"/>
      <c r="C182" s="265"/>
      <c r="D182" s="219"/>
      <c r="E182" s="219"/>
      <c r="F182" s="219"/>
    </row>
    <row r="183" spans="1:6" ht="12.75" customHeight="1">
      <c r="A183" s="1664" t="s">
        <v>1732</v>
      </c>
      <c r="B183" s="1664"/>
      <c r="C183" s="265"/>
      <c r="D183" s="219"/>
      <c r="E183" s="219"/>
      <c r="F183" s="219"/>
    </row>
    <row r="184" spans="1:6" hidden="1">
      <c r="A184" s="266"/>
      <c r="B184" s="231"/>
      <c r="C184" s="265"/>
      <c r="D184" s="219"/>
      <c r="E184" s="219"/>
      <c r="F184" s="219"/>
    </row>
    <row r="185" spans="1:6" ht="14.25" customHeight="1">
      <c r="A185" s="1655" t="s">
        <v>1733</v>
      </c>
      <c r="B185" s="1655"/>
      <c r="C185" s="1655"/>
      <c r="D185" s="1655"/>
      <c r="E185" s="1655"/>
      <c r="F185" s="1655"/>
    </row>
    <row r="186" spans="1:6" ht="15" customHeight="1">
      <c r="A186" s="1655"/>
      <c r="B186" s="1655"/>
      <c r="C186" s="1655"/>
      <c r="D186" s="1655"/>
      <c r="E186" s="1655"/>
      <c r="F186" s="1655"/>
    </row>
    <row r="187" spans="1:6">
      <c r="A187" s="228"/>
      <c r="B187" s="228"/>
      <c r="C187" s="267"/>
      <c r="D187" s="228"/>
      <c r="E187" s="228"/>
      <c r="F187" s="228"/>
    </row>
    <row r="188" spans="1:6">
      <c r="A188" s="1655" t="s">
        <v>1734</v>
      </c>
      <c r="B188" s="1655"/>
      <c r="C188" s="1655"/>
      <c r="D188" s="1655"/>
      <c r="E188" s="1655"/>
      <c r="F188" s="1655"/>
    </row>
    <row r="189" spans="1:6">
      <c r="A189" s="1655"/>
      <c r="B189" s="1655"/>
      <c r="C189" s="1655"/>
      <c r="D189" s="1655"/>
      <c r="E189" s="1655"/>
      <c r="F189" s="1655"/>
    </row>
    <row r="190" spans="1:6">
      <c r="A190" s="228"/>
      <c r="B190" s="228"/>
      <c r="C190" s="267"/>
      <c r="D190" s="228"/>
      <c r="E190" s="228"/>
      <c r="F190" s="228"/>
    </row>
    <row r="191" spans="1:6">
      <c r="A191" s="1655" t="s">
        <v>1735</v>
      </c>
      <c r="B191" s="1655"/>
      <c r="C191" s="1655"/>
      <c r="D191" s="1655"/>
      <c r="E191" s="1655"/>
      <c r="F191" s="1655"/>
    </row>
    <row r="192" spans="1:6" ht="26.25" customHeight="1">
      <c r="A192" s="1655"/>
      <c r="B192" s="1655"/>
      <c r="C192" s="1655"/>
      <c r="D192" s="1655"/>
      <c r="E192" s="1655"/>
      <c r="F192" s="1655"/>
    </row>
    <row r="193" spans="1:6">
      <c r="A193" s="228"/>
      <c r="B193" s="228"/>
      <c r="C193" s="267"/>
      <c r="D193" s="228"/>
      <c r="E193" s="228"/>
      <c r="F193" s="228"/>
    </row>
    <row r="194" spans="1:6">
      <c r="A194" s="1655" t="s">
        <v>1736</v>
      </c>
      <c r="B194" s="1655"/>
      <c r="C194" s="1655"/>
      <c r="D194" s="1655"/>
      <c r="E194" s="1655"/>
      <c r="F194" s="1655"/>
    </row>
    <row r="195" spans="1:6">
      <c r="A195" s="1660" t="s">
        <v>1737</v>
      </c>
      <c r="B195" s="1660"/>
      <c r="C195" s="1660"/>
      <c r="D195" s="1660"/>
      <c r="E195" s="1660"/>
      <c r="F195" s="1660"/>
    </row>
    <row r="196" spans="1:6">
      <c r="A196" s="1660" t="s">
        <v>1738</v>
      </c>
      <c r="B196" s="1660"/>
      <c r="C196" s="1660"/>
      <c r="D196" s="1660"/>
      <c r="E196" s="1660"/>
      <c r="F196" s="1660"/>
    </row>
    <row r="197" spans="1:6">
      <c r="A197" s="1660" t="s">
        <v>1739</v>
      </c>
      <c r="B197" s="1660"/>
      <c r="C197" s="1660"/>
      <c r="D197" s="1660"/>
      <c r="E197" s="1660"/>
      <c r="F197" s="1660"/>
    </row>
    <row r="198" spans="1:6">
      <c r="A198" s="1660" t="s">
        <v>1740</v>
      </c>
      <c r="B198" s="1660"/>
      <c r="C198" s="1660"/>
      <c r="D198" s="1660"/>
      <c r="E198" s="1660"/>
      <c r="F198" s="1660"/>
    </row>
    <row r="199" spans="1:6">
      <c r="A199" s="1660" t="s">
        <v>1741</v>
      </c>
      <c r="B199" s="1660"/>
      <c r="C199" s="1660"/>
      <c r="D199" s="1660"/>
      <c r="E199" s="1660"/>
      <c r="F199" s="1660"/>
    </row>
    <row r="200" spans="1:6">
      <c r="A200" s="1660" t="s">
        <v>1742</v>
      </c>
      <c r="B200" s="1660"/>
      <c r="C200" s="1660"/>
      <c r="D200" s="1660"/>
      <c r="E200" s="1660"/>
      <c r="F200" s="1660"/>
    </row>
    <row r="201" spans="1:6">
      <c r="A201" s="1660" t="s">
        <v>1743</v>
      </c>
      <c r="B201" s="1660"/>
      <c r="C201" s="1660"/>
      <c r="D201" s="1660"/>
      <c r="E201" s="1660"/>
      <c r="F201" s="1660"/>
    </row>
    <row r="202" spans="1:6">
      <c r="A202" s="1666" t="s">
        <v>1744</v>
      </c>
      <c r="B202" s="1660"/>
      <c r="C202" s="1660"/>
      <c r="D202" s="1660"/>
      <c r="E202" s="1660"/>
      <c r="F202" s="1660"/>
    </row>
    <row r="203" spans="1:6">
      <c r="A203" s="1660" t="s">
        <v>1745</v>
      </c>
      <c r="B203" s="1660"/>
      <c r="C203" s="1660"/>
      <c r="D203" s="1660"/>
      <c r="E203" s="1660"/>
      <c r="F203" s="1660"/>
    </row>
    <row r="204" spans="1:6">
      <c r="A204" s="228"/>
      <c r="B204" s="228"/>
      <c r="C204" s="267"/>
      <c r="D204" s="228"/>
      <c r="E204" s="228"/>
      <c r="F204" s="228"/>
    </row>
    <row r="205" spans="1:6">
      <c r="A205" s="1655" t="s">
        <v>1746</v>
      </c>
      <c r="B205" s="1655"/>
      <c r="C205" s="1655"/>
      <c r="D205" s="1655"/>
      <c r="E205" s="1655"/>
      <c r="F205" s="1655"/>
    </row>
    <row r="206" spans="1:6">
      <c r="A206" s="1655"/>
      <c r="B206" s="1655"/>
      <c r="C206" s="1655"/>
      <c r="D206" s="1655"/>
      <c r="E206" s="1655"/>
      <c r="F206" s="1655"/>
    </row>
    <row r="207" spans="1:6">
      <c r="A207" s="228"/>
      <c r="B207" s="228"/>
      <c r="C207" s="267"/>
      <c r="D207" s="228"/>
      <c r="E207" s="228"/>
      <c r="F207" s="228"/>
    </row>
    <row r="208" spans="1:6">
      <c r="A208" s="1655" t="s">
        <v>1747</v>
      </c>
      <c r="B208" s="1655"/>
      <c r="C208" s="1655"/>
      <c r="D208" s="1655"/>
      <c r="E208" s="1655"/>
      <c r="F208" s="1655"/>
    </row>
    <row r="209" spans="1:6">
      <c r="A209" s="1655"/>
      <c r="B209" s="1655"/>
      <c r="C209" s="1655"/>
      <c r="D209" s="1655"/>
      <c r="E209" s="1655"/>
      <c r="F209" s="1655"/>
    </row>
    <row r="210" spans="1:6">
      <c r="A210" s="1655"/>
      <c r="B210" s="1655"/>
      <c r="C210" s="1655"/>
      <c r="D210" s="1655"/>
      <c r="E210" s="1655"/>
      <c r="F210" s="1655"/>
    </row>
    <row r="211" spans="1:6">
      <c r="A211" s="1655"/>
      <c r="B211" s="1655"/>
      <c r="C211" s="1655"/>
      <c r="D211" s="1655"/>
      <c r="E211" s="1655"/>
      <c r="F211" s="1655"/>
    </row>
    <row r="212" spans="1:6">
      <c r="B212" s="240"/>
      <c r="C212" s="265"/>
      <c r="D212" s="240"/>
      <c r="E212" s="240"/>
      <c r="F212" s="240"/>
    </row>
    <row r="213" spans="1:6">
      <c r="A213" s="1655" t="s">
        <v>1748</v>
      </c>
      <c r="B213" s="1655"/>
      <c r="C213" s="1655"/>
      <c r="D213" s="1655"/>
      <c r="E213" s="1655"/>
      <c r="F213" s="1655"/>
    </row>
    <row r="214" spans="1:6">
      <c r="A214" s="1655"/>
      <c r="B214" s="1655"/>
      <c r="C214" s="1655"/>
      <c r="D214" s="1655"/>
      <c r="E214" s="1655"/>
      <c r="F214" s="1655"/>
    </row>
    <row r="215" spans="1:6" ht="0.75" customHeight="1">
      <c r="B215" s="240"/>
      <c r="C215" s="265"/>
      <c r="D215" s="240"/>
      <c r="E215" s="240"/>
      <c r="F215" s="240"/>
    </row>
    <row r="216" spans="1:6">
      <c r="A216" s="1655" t="s">
        <v>1749</v>
      </c>
      <c r="B216" s="1655"/>
      <c r="C216" s="1655"/>
      <c r="D216" s="1655"/>
      <c r="E216" s="1655"/>
      <c r="F216" s="1655"/>
    </row>
    <row r="217" spans="1:6">
      <c r="B217" s="240"/>
      <c r="C217" s="265"/>
      <c r="D217" s="240"/>
      <c r="E217" s="240"/>
      <c r="F217" s="240"/>
    </row>
    <row r="218" spans="1:6">
      <c r="A218" s="1660" t="s">
        <v>1750</v>
      </c>
      <c r="B218" s="1660"/>
      <c r="C218" s="1660"/>
      <c r="D218" s="1660"/>
      <c r="E218" s="1660"/>
      <c r="F218" s="1660"/>
    </row>
    <row r="219" spans="1:6">
      <c r="B219" s="240"/>
      <c r="C219" s="265"/>
      <c r="D219" s="240"/>
      <c r="E219" s="240"/>
      <c r="F219" s="240"/>
    </row>
    <row r="220" spans="1:6">
      <c r="A220" s="1655" t="s">
        <v>1751</v>
      </c>
      <c r="B220" s="1655"/>
      <c r="C220" s="1655"/>
      <c r="D220" s="1655"/>
      <c r="E220" s="1655"/>
      <c r="F220" s="1655"/>
    </row>
    <row r="221" spans="1:6">
      <c r="A221" s="1655"/>
      <c r="B221" s="1655"/>
      <c r="C221" s="1655"/>
      <c r="D221" s="1655"/>
      <c r="E221" s="1655"/>
      <c r="F221" s="1655"/>
    </row>
    <row r="222" spans="1:6">
      <c r="B222" s="240"/>
      <c r="C222" s="265"/>
      <c r="D222" s="240"/>
      <c r="E222" s="240"/>
      <c r="F222" s="240"/>
    </row>
    <row r="223" spans="1:6">
      <c r="A223" s="1655" t="s">
        <v>1752</v>
      </c>
      <c r="B223" s="1655"/>
      <c r="C223" s="1655"/>
      <c r="D223" s="1655"/>
      <c r="E223" s="1655"/>
      <c r="F223" s="1655"/>
    </row>
    <row r="224" spans="1:6">
      <c r="A224" s="1655"/>
      <c r="B224" s="1655"/>
      <c r="C224" s="1655"/>
      <c r="D224" s="1655"/>
      <c r="E224" s="1655"/>
      <c r="F224" s="1655"/>
    </row>
    <row r="225" spans="1:6">
      <c r="B225" s="240"/>
      <c r="C225" s="265"/>
      <c r="D225" s="240"/>
      <c r="E225" s="240"/>
      <c r="F225" s="240"/>
    </row>
    <row r="226" spans="1:6">
      <c r="A226" s="1655" t="s">
        <v>1753</v>
      </c>
      <c r="B226" s="1655"/>
      <c r="C226" s="1655"/>
      <c r="D226" s="1655"/>
      <c r="E226" s="1655"/>
      <c r="F226" s="1655"/>
    </row>
    <row r="227" spans="1:6">
      <c r="A227" s="1655"/>
      <c r="B227" s="1655"/>
      <c r="C227" s="1655"/>
      <c r="D227" s="1655"/>
      <c r="E227" s="1655"/>
      <c r="F227" s="1655"/>
    </row>
    <row r="228" spans="1:6">
      <c r="B228" s="240"/>
      <c r="C228" s="265"/>
      <c r="D228" s="240"/>
      <c r="E228" s="240"/>
      <c r="F228" s="240"/>
    </row>
    <row r="229" spans="1:6">
      <c r="A229" s="1655" t="s">
        <v>1754</v>
      </c>
      <c r="B229" s="1655"/>
      <c r="C229" s="1655"/>
      <c r="D229" s="1655"/>
      <c r="E229" s="1655"/>
      <c r="F229" s="1655"/>
    </row>
    <row r="230" spans="1:6">
      <c r="A230" s="1655"/>
      <c r="B230" s="1655"/>
      <c r="C230" s="1655"/>
      <c r="D230" s="1655"/>
      <c r="E230" s="1655"/>
      <c r="F230" s="1655"/>
    </row>
    <row r="231" spans="1:6">
      <c r="B231" s="240"/>
      <c r="C231" s="265"/>
      <c r="D231" s="240"/>
      <c r="E231" s="240"/>
      <c r="F231" s="240"/>
    </row>
    <row r="232" spans="1:6">
      <c r="A232" s="1655" t="s">
        <v>1755</v>
      </c>
      <c r="B232" s="1655"/>
      <c r="C232" s="1655"/>
      <c r="D232" s="1655"/>
      <c r="E232" s="1655"/>
      <c r="F232" s="1655"/>
    </row>
    <row r="233" spans="1:6" ht="3" customHeight="1">
      <c r="A233" s="1655"/>
      <c r="B233" s="1655"/>
      <c r="C233" s="1655"/>
      <c r="D233" s="1655"/>
      <c r="E233" s="1655"/>
      <c r="F233" s="1655"/>
    </row>
    <row r="234" spans="1:6">
      <c r="A234" s="1655"/>
      <c r="B234" s="1655"/>
      <c r="C234" s="1655"/>
      <c r="D234" s="1655"/>
      <c r="E234" s="1655"/>
      <c r="F234" s="1655"/>
    </row>
    <row r="235" spans="1:6">
      <c r="B235" s="240"/>
      <c r="C235" s="265"/>
      <c r="D235" s="240"/>
      <c r="E235" s="240"/>
      <c r="F235" s="240"/>
    </row>
    <row r="236" spans="1:6">
      <c r="A236" s="1667" t="s">
        <v>1756</v>
      </c>
      <c r="B236" s="1668"/>
      <c r="C236" s="265"/>
      <c r="D236" s="240"/>
      <c r="E236" s="240"/>
      <c r="F236" s="240"/>
    </row>
    <row r="237" spans="1:6">
      <c r="A237" s="1667" t="s">
        <v>1757</v>
      </c>
      <c r="B237" s="1668"/>
      <c r="C237" s="265"/>
      <c r="D237" s="240"/>
      <c r="E237" s="240"/>
      <c r="F237" s="240"/>
    </row>
    <row r="238" spans="1:6">
      <c r="A238" s="1667" t="s">
        <v>1758</v>
      </c>
      <c r="B238" s="1668"/>
      <c r="C238" s="265"/>
      <c r="D238" s="240"/>
      <c r="E238" s="240"/>
      <c r="F238" s="240"/>
    </row>
    <row r="239" spans="1:6">
      <c r="A239" s="1667" t="s">
        <v>1759</v>
      </c>
      <c r="B239" s="1668"/>
      <c r="C239" s="265"/>
      <c r="D239" s="240"/>
      <c r="E239" s="240"/>
      <c r="F239" s="240"/>
    </row>
    <row r="240" spans="1:6">
      <c r="A240" s="1667" t="s">
        <v>1760</v>
      </c>
      <c r="B240" s="1668"/>
      <c r="C240" s="265"/>
      <c r="D240" s="240"/>
      <c r="E240" s="240"/>
      <c r="F240" s="240"/>
    </row>
    <row r="241" spans="1:6">
      <c r="A241" s="1655" t="s">
        <v>1761</v>
      </c>
      <c r="B241" s="1655"/>
      <c r="C241" s="265"/>
      <c r="D241" s="219"/>
      <c r="E241" s="219"/>
      <c r="F241" s="219"/>
    </row>
    <row r="242" spans="1:6">
      <c r="A242" s="1667" t="s">
        <v>1762</v>
      </c>
      <c r="B242" s="1668"/>
      <c r="C242" s="265"/>
      <c r="D242" s="240"/>
      <c r="E242" s="240"/>
      <c r="F242" s="240"/>
    </row>
    <row r="243" spans="1:6">
      <c r="A243" s="268" t="s">
        <v>1763</v>
      </c>
      <c r="B243" s="231"/>
      <c r="C243" s="265"/>
      <c r="D243" s="219"/>
      <c r="E243" s="219"/>
      <c r="F243" s="219"/>
    </row>
    <row r="244" spans="1:6">
      <c r="A244" s="268" t="s">
        <v>1764</v>
      </c>
      <c r="B244" s="231"/>
      <c r="C244" s="265"/>
      <c r="D244" s="219"/>
      <c r="E244" s="219"/>
      <c r="F244" s="219"/>
    </row>
    <row r="245" spans="1:6">
      <c r="A245" s="268" t="s">
        <v>1765</v>
      </c>
      <c r="B245" s="231"/>
      <c r="C245" s="265"/>
      <c r="D245" s="219"/>
      <c r="E245" s="219"/>
      <c r="F245" s="219"/>
    </row>
    <row r="246" spans="1:6">
      <c r="A246" s="268" t="s">
        <v>1766</v>
      </c>
      <c r="B246" s="231"/>
      <c r="C246" s="265"/>
      <c r="D246" s="219"/>
      <c r="E246" s="219"/>
      <c r="F246" s="219"/>
    </row>
    <row r="247" spans="1:6">
      <c r="A247" s="268" t="s">
        <v>1767</v>
      </c>
      <c r="B247" s="231"/>
      <c r="C247" s="265"/>
      <c r="D247" s="219"/>
      <c r="E247" s="219"/>
      <c r="F247" s="219"/>
    </row>
    <row r="248" spans="1:6">
      <c r="A248" s="268" t="s">
        <v>1768</v>
      </c>
      <c r="B248" s="231"/>
      <c r="C248" s="265"/>
      <c r="D248" s="219"/>
      <c r="E248" s="219"/>
      <c r="F248" s="219"/>
    </row>
    <row r="249" spans="1:6">
      <c r="A249" s="268" t="s">
        <v>1769</v>
      </c>
      <c r="B249" s="231"/>
      <c r="C249" s="265"/>
      <c r="D249" s="219"/>
      <c r="E249" s="219"/>
      <c r="F249" s="219"/>
    </row>
    <row r="250" spans="1:6">
      <c r="A250" s="268" t="s">
        <v>1770</v>
      </c>
      <c r="B250" s="231"/>
      <c r="C250" s="265"/>
      <c r="D250" s="219"/>
      <c r="E250" s="219"/>
      <c r="F250" s="219"/>
    </row>
    <row r="251" spans="1:6">
      <c r="A251" s="268" t="s">
        <v>1771</v>
      </c>
      <c r="B251" s="231"/>
      <c r="C251" s="265"/>
      <c r="D251" s="219"/>
      <c r="E251" s="219"/>
      <c r="F251" s="219"/>
    </row>
    <row r="252" spans="1:6">
      <c r="A252" s="268" t="s">
        <v>1772</v>
      </c>
      <c r="B252" s="231"/>
      <c r="C252" s="265"/>
      <c r="D252" s="219"/>
      <c r="E252" s="219"/>
      <c r="F252" s="219"/>
    </row>
    <row r="253" spans="1:6">
      <c r="A253" s="268" t="s">
        <v>1773</v>
      </c>
      <c r="B253" s="231"/>
      <c r="C253" s="265"/>
      <c r="D253" s="219"/>
      <c r="E253" s="219"/>
      <c r="F253" s="219"/>
    </row>
    <row r="254" spans="1:6">
      <c r="A254" s="268" t="s">
        <v>1774</v>
      </c>
      <c r="B254" s="231"/>
      <c r="C254" s="265"/>
      <c r="D254" s="219"/>
      <c r="E254" s="219"/>
      <c r="F254" s="219"/>
    </row>
    <row r="255" spans="1:6" ht="13.5" customHeight="1">
      <c r="A255" s="268" t="s">
        <v>1775</v>
      </c>
      <c r="B255" s="231"/>
      <c r="C255" s="265"/>
      <c r="D255" s="219"/>
      <c r="E255" s="219"/>
      <c r="F255" s="219"/>
    </row>
    <row r="256" spans="1:6">
      <c r="A256" s="268" t="s">
        <v>1776</v>
      </c>
      <c r="B256" s="231"/>
      <c r="C256" s="265"/>
      <c r="D256" s="219"/>
      <c r="E256" s="219"/>
      <c r="F256" s="219"/>
    </row>
    <row r="257" spans="1:6">
      <c r="A257" s="268" t="s">
        <v>1777</v>
      </c>
      <c r="B257" s="231"/>
      <c r="C257" s="265"/>
      <c r="D257" s="219"/>
      <c r="E257" s="219"/>
      <c r="F257" s="219"/>
    </row>
    <row r="258" spans="1:6">
      <c r="A258" s="268" t="s">
        <v>1778</v>
      </c>
      <c r="B258" s="231"/>
      <c r="C258" s="265"/>
      <c r="D258" s="219"/>
      <c r="E258" s="219"/>
      <c r="F258" s="219"/>
    </row>
    <row r="259" spans="1:6">
      <c r="A259" s="268" t="s">
        <v>1779</v>
      </c>
      <c r="B259" s="231"/>
      <c r="C259" s="265"/>
      <c r="D259" s="219"/>
      <c r="E259" s="219"/>
      <c r="F259" s="219"/>
    </row>
    <row r="260" spans="1:6">
      <c r="A260" s="268"/>
      <c r="B260" s="231"/>
      <c r="C260" s="265"/>
      <c r="D260" s="219"/>
      <c r="E260" s="219"/>
      <c r="F260" s="219"/>
    </row>
    <row r="261" spans="1:6">
      <c r="A261" s="1664" t="s">
        <v>1780</v>
      </c>
      <c r="B261" s="1664"/>
      <c r="C261" s="265"/>
      <c r="D261" s="219"/>
      <c r="E261" s="219"/>
      <c r="F261" s="219"/>
    </row>
    <row r="262" spans="1:6">
      <c r="A262" s="268"/>
      <c r="B262" s="231"/>
      <c r="C262" s="265"/>
      <c r="D262" s="219"/>
      <c r="E262" s="219"/>
      <c r="F262" s="219"/>
    </row>
    <row r="263" spans="1:6">
      <c r="A263" s="1657" t="s">
        <v>1781</v>
      </c>
      <c r="B263" s="1655"/>
      <c r="C263" s="1655"/>
      <c r="D263" s="1655"/>
      <c r="E263" s="1655"/>
      <c r="F263" s="1655"/>
    </row>
    <row r="264" spans="1:6">
      <c r="A264" s="241"/>
      <c r="B264" s="231"/>
      <c r="C264" s="265"/>
      <c r="D264" s="237"/>
      <c r="E264" s="237"/>
      <c r="F264" s="237"/>
    </row>
    <row r="265" spans="1:6">
      <c r="A265" s="1669" t="s">
        <v>1782</v>
      </c>
      <c r="B265" s="1660"/>
      <c r="C265" s="1660"/>
      <c r="D265" s="1660"/>
      <c r="E265" s="1660"/>
      <c r="F265" s="1660"/>
    </row>
    <row r="266" spans="1:6" hidden="1">
      <c r="A266" s="232"/>
      <c r="B266" s="231"/>
      <c r="C266" s="265"/>
      <c r="D266" s="237"/>
      <c r="E266" s="237"/>
      <c r="F266" s="237"/>
    </row>
    <row r="267" spans="1:6" hidden="1">
      <c r="A267" s="1656" t="s">
        <v>1783</v>
      </c>
      <c r="B267" s="1656"/>
      <c r="C267" s="265"/>
      <c r="D267" s="237"/>
      <c r="E267" s="237"/>
      <c r="F267" s="237"/>
    </row>
    <row r="268" spans="1:6" ht="31.5" customHeight="1">
      <c r="A268" s="1657" t="s">
        <v>1784</v>
      </c>
      <c r="B268" s="1655"/>
      <c r="C268" s="1655"/>
      <c r="D268" s="1655"/>
      <c r="E268" s="1655"/>
      <c r="F268" s="1655"/>
    </row>
    <row r="269" spans="1:6">
      <c r="A269" s="232"/>
      <c r="B269" s="228"/>
      <c r="C269" s="267"/>
      <c r="D269" s="228"/>
      <c r="E269" s="228"/>
      <c r="F269" s="228"/>
    </row>
    <row r="270" spans="1:6">
      <c r="A270" s="243" t="s">
        <v>1785</v>
      </c>
      <c r="B270" s="243"/>
      <c r="C270" s="243"/>
      <c r="D270" s="243"/>
      <c r="E270" s="243"/>
      <c r="F270" s="243"/>
    </row>
    <row r="271" spans="1:6">
      <c r="A271" s="1670" t="s">
        <v>1786</v>
      </c>
      <c r="B271" s="1671"/>
      <c r="C271" s="1671"/>
      <c r="D271" s="1671"/>
      <c r="E271" s="1671"/>
      <c r="F271" s="1671"/>
    </row>
    <row r="272" spans="1:6">
      <c r="A272" s="1670" t="s">
        <v>1787</v>
      </c>
      <c r="B272" s="1671"/>
      <c r="C272" s="1671"/>
      <c r="D272" s="1671"/>
      <c r="E272" s="1671"/>
      <c r="F272" s="1671"/>
    </row>
    <row r="273" spans="1:6">
      <c r="A273" s="1670" t="s">
        <v>1788</v>
      </c>
      <c r="B273" s="1671"/>
      <c r="C273" s="1671"/>
      <c r="D273" s="1671"/>
      <c r="E273" s="1671"/>
      <c r="F273" s="1671"/>
    </row>
    <row r="274" spans="1:6">
      <c r="A274" s="1670" t="s">
        <v>1789</v>
      </c>
      <c r="B274" s="1671"/>
      <c r="C274" s="1671"/>
      <c r="D274" s="1671"/>
      <c r="E274" s="1671"/>
      <c r="F274" s="1671"/>
    </row>
    <row r="275" spans="1:6">
      <c r="A275" s="1670" t="s">
        <v>1790</v>
      </c>
      <c r="B275" s="1671"/>
      <c r="C275" s="1671"/>
      <c r="D275" s="1671"/>
      <c r="E275" s="1671"/>
      <c r="F275" s="1671"/>
    </row>
    <row r="276" spans="1:6">
      <c r="A276" s="228"/>
      <c r="B276" s="228"/>
      <c r="C276" s="267"/>
      <c r="D276" s="228"/>
      <c r="E276" s="228"/>
      <c r="F276" s="228"/>
    </row>
    <row r="277" spans="1:6">
      <c r="A277" s="1656" t="s">
        <v>1791</v>
      </c>
      <c r="B277" s="1656"/>
      <c r="C277" s="265"/>
      <c r="D277" s="237"/>
      <c r="E277" s="237"/>
      <c r="F277" s="237"/>
    </row>
    <row r="278" spans="1:6">
      <c r="A278" s="1670" t="s">
        <v>1792</v>
      </c>
      <c r="B278" s="1671"/>
      <c r="C278" s="1671"/>
      <c r="D278" s="1671"/>
      <c r="E278" s="1671"/>
      <c r="F278" s="1671"/>
    </row>
    <row r="279" spans="1:6">
      <c r="A279" s="1671" t="s">
        <v>1793</v>
      </c>
      <c r="B279" s="1671"/>
      <c r="C279" s="1671"/>
      <c r="D279" s="1671"/>
      <c r="E279" s="1671"/>
      <c r="F279" s="1671"/>
    </row>
    <row r="280" spans="1:6">
      <c r="A280" s="1671" t="s">
        <v>1794</v>
      </c>
      <c r="B280" s="1671"/>
      <c r="C280" s="1671"/>
      <c r="D280" s="1671"/>
      <c r="E280" s="1671"/>
      <c r="F280" s="1671"/>
    </row>
    <row r="281" spans="1:6">
      <c r="B281" s="231"/>
      <c r="C281" s="265"/>
      <c r="D281" s="219"/>
      <c r="E281" s="219"/>
      <c r="F281" s="219"/>
    </row>
    <row r="282" spans="1:6">
      <c r="A282" s="1664" t="s">
        <v>1795</v>
      </c>
      <c r="B282" s="1664"/>
      <c r="C282" s="265"/>
      <c r="D282" s="219"/>
      <c r="E282" s="219"/>
      <c r="F282" s="219"/>
    </row>
    <row r="283" spans="1:6">
      <c r="A283" s="241"/>
      <c r="B283" s="231"/>
      <c r="C283" s="265"/>
      <c r="D283" s="237"/>
      <c r="E283" s="237"/>
      <c r="F283" s="237"/>
    </row>
    <row r="284" spans="1:6">
      <c r="A284" s="1670" t="s">
        <v>1796</v>
      </c>
      <c r="B284" s="1671"/>
      <c r="C284" s="1671"/>
      <c r="D284" s="1671"/>
      <c r="E284" s="1671"/>
      <c r="F284" s="1671"/>
    </row>
    <row r="285" spans="1:6">
      <c r="A285" s="241"/>
      <c r="B285" s="231"/>
      <c r="C285" s="265"/>
      <c r="D285" s="237"/>
      <c r="E285" s="237"/>
      <c r="F285" s="237"/>
    </row>
    <row r="286" spans="1:6">
      <c r="A286" s="1655" t="s">
        <v>1797</v>
      </c>
      <c r="B286" s="1655"/>
      <c r="C286" s="1655"/>
      <c r="D286" s="1655"/>
      <c r="E286" s="1655"/>
      <c r="F286" s="1655"/>
    </row>
    <row r="287" spans="1:6">
      <c r="A287" s="241"/>
      <c r="B287" s="231"/>
      <c r="C287" s="265"/>
      <c r="D287" s="231"/>
      <c r="E287" s="231"/>
      <c r="F287" s="231"/>
    </row>
    <row r="288" spans="1:6">
      <c r="A288" s="1671" t="s">
        <v>1798</v>
      </c>
      <c r="B288" s="1671"/>
      <c r="C288" s="1671"/>
      <c r="D288" s="1671"/>
      <c r="E288" s="1671"/>
      <c r="F288" s="1671"/>
    </row>
    <row r="289" spans="1:6">
      <c r="A289" s="241"/>
      <c r="B289" s="231"/>
      <c r="C289" s="265"/>
      <c r="D289" s="237"/>
      <c r="E289" s="237"/>
      <c r="F289" s="237"/>
    </row>
    <row r="290" spans="1:6">
      <c r="A290" s="1655" t="s">
        <v>1799</v>
      </c>
      <c r="B290" s="1655"/>
      <c r="C290" s="1655"/>
      <c r="D290" s="1655"/>
      <c r="E290" s="1655"/>
      <c r="F290" s="1655"/>
    </row>
    <row r="291" spans="1:6">
      <c r="A291" s="232"/>
      <c r="B291" s="228"/>
      <c r="C291" s="267"/>
      <c r="D291" s="228"/>
      <c r="E291" s="228"/>
      <c r="F291" s="228"/>
    </row>
    <row r="292" spans="1:6">
      <c r="A292" s="1655" t="s">
        <v>1800</v>
      </c>
      <c r="B292" s="1655"/>
      <c r="C292" s="1655"/>
      <c r="D292" s="1655"/>
      <c r="E292" s="1655"/>
      <c r="F292" s="1655"/>
    </row>
    <row r="293" spans="1:6">
      <c r="A293" s="1655"/>
      <c r="B293" s="1655"/>
      <c r="C293" s="1655"/>
      <c r="D293" s="1655"/>
      <c r="E293" s="1655"/>
      <c r="F293" s="1655"/>
    </row>
    <row r="294" spans="1:6">
      <c r="A294" s="269"/>
      <c r="B294" s="228"/>
      <c r="C294" s="267"/>
      <c r="D294" s="238"/>
      <c r="E294" s="238"/>
      <c r="F294" s="238"/>
    </row>
    <row r="295" spans="1:6" ht="24.75" customHeight="1">
      <c r="A295" s="1664" t="s">
        <v>1801</v>
      </c>
      <c r="B295" s="1664"/>
      <c r="C295" s="267"/>
      <c r="D295" s="238"/>
      <c r="E295" s="238"/>
      <c r="F295" s="238"/>
    </row>
    <row r="296" spans="1:6" hidden="1">
      <c r="A296" s="269"/>
      <c r="B296" s="228"/>
      <c r="C296" s="267"/>
      <c r="D296" s="238"/>
      <c r="E296" s="238"/>
      <c r="F296" s="238"/>
    </row>
    <row r="297" spans="1:6">
      <c r="A297" s="1660" t="s">
        <v>1802</v>
      </c>
      <c r="B297" s="1660"/>
      <c r="C297" s="1660"/>
      <c r="D297" s="1660"/>
      <c r="E297" s="1660"/>
      <c r="F297" s="1660"/>
    </row>
    <row r="298" spans="1:6">
      <c r="A298" s="241"/>
      <c r="B298" s="228"/>
      <c r="C298" s="267"/>
      <c r="D298" s="270"/>
      <c r="E298" s="270"/>
      <c r="F298" s="270"/>
    </row>
    <row r="299" spans="1:6">
      <c r="A299" s="1660" t="s">
        <v>1803</v>
      </c>
      <c r="B299" s="1660"/>
      <c r="C299" s="1660"/>
      <c r="D299" s="1660"/>
      <c r="E299" s="1660"/>
      <c r="F299" s="1660"/>
    </row>
    <row r="300" spans="1:6">
      <c r="A300" s="1660" t="s">
        <v>1804</v>
      </c>
      <c r="B300" s="1660"/>
      <c r="C300" s="1660"/>
      <c r="D300" s="1660"/>
      <c r="E300" s="1660"/>
      <c r="F300" s="1660"/>
    </row>
    <row r="301" spans="1:6">
      <c r="A301" s="1660" t="s">
        <v>1805</v>
      </c>
      <c r="B301" s="1660"/>
      <c r="C301" s="1660"/>
      <c r="D301" s="1660"/>
      <c r="E301" s="1660"/>
      <c r="F301" s="1660"/>
    </row>
    <row r="302" spans="1:6" s="271" customFormat="1" ht="12.75">
      <c r="A302" s="1660" t="s">
        <v>1806</v>
      </c>
      <c r="B302" s="1660"/>
      <c r="C302" s="1660"/>
      <c r="D302" s="1660"/>
      <c r="E302" s="1660"/>
      <c r="F302" s="1660"/>
    </row>
    <row r="303" spans="1:6" s="271" customFormat="1" ht="12.75">
      <c r="A303" s="241"/>
      <c r="B303" s="228"/>
      <c r="C303" s="267"/>
      <c r="D303" s="270"/>
      <c r="E303" s="270"/>
      <c r="F303" s="270"/>
    </row>
    <row r="304" spans="1:6" s="271" customFormat="1" ht="12.75">
      <c r="A304" s="1660" t="s">
        <v>1807</v>
      </c>
      <c r="B304" s="1660"/>
      <c r="C304" s="1660"/>
      <c r="D304" s="1660"/>
      <c r="E304" s="1660"/>
      <c r="F304" s="1660"/>
    </row>
    <row r="305" spans="1:6" s="271" customFormat="1" ht="12.75">
      <c r="A305" s="217"/>
      <c r="B305" s="217"/>
      <c r="C305" s="217"/>
      <c r="D305" s="217"/>
      <c r="E305" s="217"/>
      <c r="F305" s="217"/>
    </row>
    <row r="306" spans="1:6" s="271" customFormat="1" ht="12.75">
      <c r="A306" s="1672" t="s">
        <v>1808</v>
      </c>
      <c r="B306" s="1672"/>
      <c r="C306" s="228"/>
      <c r="D306" s="228"/>
      <c r="E306" s="228"/>
      <c r="F306" s="228"/>
    </row>
    <row r="307" spans="1:6" s="271" customFormat="1" ht="12.75">
      <c r="A307" s="228"/>
      <c r="B307" s="228"/>
      <c r="C307" s="228"/>
      <c r="D307" s="228"/>
      <c r="E307" s="228"/>
      <c r="F307" s="228"/>
    </row>
    <row r="308" spans="1:6" s="271" customFormat="1" ht="12.75">
      <c r="A308" s="1673" t="s">
        <v>1809</v>
      </c>
      <c r="B308" s="1673"/>
      <c r="C308" s="1673"/>
      <c r="D308" s="1673"/>
      <c r="E308" s="1673"/>
      <c r="F308" s="1673"/>
    </row>
    <row r="309" spans="1:6" s="271" customFormat="1" ht="12.75">
      <c r="A309" s="272"/>
      <c r="B309" s="239"/>
      <c r="C309" s="229"/>
      <c r="D309" s="237"/>
      <c r="E309" s="237"/>
      <c r="F309" s="237"/>
    </row>
    <row r="310" spans="1:6" s="271" customFormat="1" ht="12.75">
      <c r="A310" s="1655" t="s">
        <v>1810</v>
      </c>
      <c r="B310" s="1655"/>
      <c r="C310" s="1655"/>
      <c r="D310" s="1655"/>
      <c r="E310" s="1655"/>
      <c r="F310" s="1655"/>
    </row>
    <row r="311" spans="1:6" s="271" customFormat="1" ht="23.25" customHeight="1">
      <c r="A311" s="1655"/>
      <c r="B311" s="1655"/>
      <c r="C311" s="1655"/>
      <c r="D311" s="1655"/>
      <c r="E311" s="1655"/>
      <c r="F311" s="1655"/>
    </row>
    <row r="312" spans="1:6" s="271" customFormat="1" ht="12.75">
      <c r="A312" s="228"/>
      <c r="B312" s="228"/>
      <c r="C312" s="228"/>
      <c r="D312" s="228"/>
      <c r="E312" s="228"/>
      <c r="F312" s="228"/>
    </row>
    <row r="313" spans="1:6" s="271" customFormat="1" ht="12.75">
      <c r="A313" s="1674" t="s">
        <v>1811</v>
      </c>
      <c r="B313" s="1674"/>
      <c r="C313" s="1674"/>
      <c r="D313" s="1674"/>
      <c r="E313" s="1674"/>
      <c r="F313" s="1674"/>
    </row>
    <row r="314" spans="1:6" s="271" customFormat="1" ht="12.75">
      <c r="A314" s="217"/>
      <c r="B314" s="217"/>
      <c r="C314" s="217"/>
      <c r="D314" s="217"/>
      <c r="E314" s="217"/>
      <c r="F314" s="217"/>
    </row>
    <row r="315" spans="1:6" s="271" customFormat="1" ht="12.75">
      <c r="A315" s="217"/>
      <c r="B315" s="217"/>
      <c r="C315" s="217"/>
      <c r="D315" s="217"/>
      <c r="E315" s="217"/>
      <c r="F315" s="217"/>
    </row>
    <row r="316" spans="1:6" s="271" customFormat="1" ht="12.75">
      <c r="A316" s="217"/>
      <c r="B316" s="217"/>
      <c r="C316" s="217"/>
      <c r="D316" s="217"/>
      <c r="E316" s="217"/>
      <c r="F316" s="217"/>
    </row>
    <row r="317" spans="1:6" s="271" customFormat="1" ht="38.25" customHeight="1">
      <c r="A317" s="217"/>
      <c r="B317" s="217"/>
      <c r="C317" s="217"/>
      <c r="D317" s="217"/>
      <c r="E317" s="217"/>
      <c r="F317" s="217"/>
    </row>
    <row r="318" spans="1:6" s="271" customFormat="1" ht="12.75">
      <c r="A318" s="217"/>
      <c r="B318" s="217"/>
      <c r="C318" s="217"/>
      <c r="D318" s="217"/>
      <c r="E318" s="217"/>
      <c r="F318" s="217"/>
    </row>
    <row r="319" spans="1:6" s="271" customFormat="1" ht="24.6" customHeight="1">
      <c r="A319" s="217"/>
      <c r="B319" s="217"/>
      <c r="C319" s="217"/>
      <c r="D319" s="217"/>
      <c r="E319" s="217"/>
      <c r="F319" s="217"/>
    </row>
    <row r="320" spans="1:6" s="271" customFormat="1" ht="12.75">
      <c r="A320" s="217"/>
      <c r="B320" s="217"/>
      <c r="C320" s="217"/>
      <c r="D320" s="217"/>
      <c r="E320" s="217"/>
      <c r="F320" s="217"/>
    </row>
    <row r="353" ht="15.75" customHeight="1"/>
    <row r="376" ht="0.75" customHeight="1"/>
    <row r="405" ht="27.75" customHeight="1"/>
    <row r="410" ht="26.25" customHeight="1"/>
    <row r="453" ht="25.5" customHeight="1"/>
    <row r="459" ht="23.45" customHeight="1"/>
    <row r="464" ht="38.25" customHeight="1"/>
    <row r="465" ht="24.75" customHeight="1"/>
    <row r="466" ht="25.5" customHeight="1"/>
    <row r="467" ht="28.5" customHeight="1"/>
    <row r="468" ht="38.25" customHeight="1"/>
    <row r="469" ht="15" customHeight="1"/>
    <row r="470" ht="38.25" customHeight="1"/>
    <row r="472" ht="26.25" customHeight="1"/>
    <row r="489" ht="37.5" customHeight="1"/>
    <row r="500" ht="63.75" customHeight="1"/>
    <row r="502" ht="61.5" customHeight="1"/>
    <row r="504" ht="26.25" customHeight="1"/>
    <row r="506" ht="40.5" customHeight="1"/>
    <row r="508" ht="24.6" customHeight="1"/>
    <row r="510" ht="51" customHeight="1"/>
    <row r="512" ht="48.75" customHeight="1"/>
    <row r="516" ht="51" customHeight="1"/>
    <row r="520" ht="26.25" customHeight="1"/>
    <row r="522" ht="26.25" customHeight="1"/>
    <row r="524" ht="37.5" customHeight="1"/>
    <row r="526" ht="36" customHeight="1"/>
    <row r="528" ht="28.5" customHeight="1"/>
  </sheetData>
  <sheetProtection algorithmName="SHA-512" hashValue="j+aGDcDDoxQ39qJvWgwpWh747LqL5UGTpZqlhx4YqXmOzweg+BnuWf/UKcZNLAei+iLaR94mK2+hZ61MtC5TNw==" saltValue="KdTPMaXT8DRxgUkm7k2VrQ==" spinCount="100000" sheet="1" objects="1" scenarios="1"/>
  <mergeCells count="149">
    <mergeCell ref="A304:F304"/>
    <mergeCell ref="A306:B306"/>
    <mergeCell ref="A308:F308"/>
    <mergeCell ref="A310:F311"/>
    <mergeCell ref="A313:F313"/>
    <mergeCell ref="A295:B295"/>
    <mergeCell ref="A297:F297"/>
    <mergeCell ref="A299:F299"/>
    <mergeCell ref="A300:F300"/>
    <mergeCell ref="A301:F301"/>
    <mergeCell ref="A302:F302"/>
    <mergeCell ref="A282:B282"/>
    <mergeCell ref="A284:F284"/>
    <mergeCell ref="A286:F286"/>
    <mergeCell ref="A288:F288"/>
    <mergeCell ref="A290:F290"/>
    <mergeCell ref="A292:F293"/>
    <mergeCell ref="A274:F274"/>
    <mergeCell ref="A275:F275"/>
    <mergeCell ref="A277:B277"/>
    <mergeCell ref="A278:F278"/>
    <mergeCell ref="A279:F279"/>
    <mergeCell ref="A280:F280"/>
    <mergeCell ref="A265:F265"/>
    <mergeCell ref="A267:B267"/>
    <mergeCell ref="A268:F268"/>
    <mergeCell ref="A271:F271"/>
    <mergeCell ref="A272:F272"/>
    <mergeCell ref="A273:F273"/>
    <mergeCell ref="A239:B239"/>
    <mergeCell ref="A240:B240"/>
    <mergeCell ref="A241:B241"/>
    <mergeCell ref="A242:B242"/>
    <mergeCell ref="A261:B261"/>
    <mergeCell ref="A263:F263"/>
    <mergeCell ref="A226:F227"/>
    <mergeCell ref="A229:F230"/>
    <mergeCell ref="A232:F234"/>
    <mergeCell ref="A236:B236"/>
    <mergeCell ref="A237:B237"/>
    <mergeCell ref="A238:B238"/>
    <mergeCell ref="A208:F211"/>
    <mergeCell ref="A213:F214"/>
    <mergeCell ref="A216:F216"/>
    <mergeCell ref="A218:F218"/>
    <mergeCell ref="A220:F221"/>
    <mergeCell ref="A223:F224"/>
    <mergeCell ref="A199:F199"/>
    <mergeCell ref="A200:F200"/>
    <mergeCell ref="A201:F201"/>
    <mergeCell ref="A202:F202"/>
    <mergeCell ref="A203:F203"/>
    <mergeCell ref="A205:F206"/>
    <mergeCell ref="A191:F192"/>
    <mergeCell ref="A194:F194"/>
    <mergeCell ref="A195:F195"/>
    <mergeCell ref="A196:F196"/>
    <mergeCell ref="A197:F197"/>
    <mergeCell ref="A198:F198"/>
    <mergeCell ref="A175:F175"/>
    <mergeCell ref="A177:F177"/>
    <mergeCell ref="A181:B181"/>
    <mergeCell ref="A183:B183"/>
    <mergeCell ref="A185:F186"/>
    <mergeCell ref="A188:F189"/>
    <mergeCell ref="A164:F164"/>
    <mergeCell ref="A165:F165"/>
    <mergeCell ref="A167:F167"/>
    <mergeCell ref="A169:F169"/>
    <mergeCell ref="A171:F171"/>
    <mergeCell ref="A173:F173"/>
    <mergeCell ref="A151:F151"/>
    <mergeCell ref="A152:F152"/>
    <mergeCell ref="A154:F154"/>
    <mergeCell ref="A156:F156"/>
    <mergeCell ref="A158:F158"/>
    <mergeCell ref="A162:B162"/>
    <mergeCell ref="A142:F142"/>
    <mergeCell ref="A144:F144"/>
    <mergeCell ref="A145:F145"/>
    <mergeCell ref="A147:F147"/>
    <mergeCell ref="A148:F148"/>
    <mergeCell ref="A149:F149"/>
    <mergeCell ref="A132:F132"/>
    <mergeCell ref="A133:F133"/>
    <mergeCell ref="A134:F134"/>
    <mergeCell ref="A135:F136"/>
    <mergeCell ref="A137:F137"/>
    <mergeCell ref="A138:F138"/>
    <mergeCell ref="A125:F125"/>
    <mergeCell ref="A127:F127"/>
    <mergeCell ref="A128:F128"/>
    <mergeCell ref="A129:F129"/>
    <mergeCell ref="A130:F130"/>
    <mergeCell ref="A131:F131"/>
    <mergeCell ref="A110:F110"/>
    <mergeCell ref="A111:F111"/>
    <mergeCell ref="A115:F116"/>
    <mergeCell ref="A118:F119"/>
    <mergeCell ref="A121:F121"/>
    <mergeCell ref="A123:F123"/>
    <mergeCell ref="A101:F102"/>
    <mergeCell ref="A104:F104"/>
    <mergeCell ref="A105:F105"/>
    <mergeCell ref="A106:F106"/>
    <mergeCell ref="A107:F108"/>
    <mergeCell ref="A109:F109"/>
    <mergeCell ref="A92:F92"/>
    <mergeCell ref="A93:F93"/>
    <mergeCell ref="A94:F94"/>
    <mergeCell ref="A96:B96"/>
    <mergeCell ref="A98:E98"/>
    <mergeCell ref="A99:E99"/>
    <mergeCell ref="A85:F85"/>
    <mergeCell ref="A87:F87"/>
    <mergeCell ref="A88:F88"/>
    <mergeCell ref="A89:F89"/>
    <mergeCell ref="A90:F90"/>
    <mergeCell ref="A91:F91"/>
    <mergeCell ref="A69:F70"/>
    <mergeCell ref="A72:F72"/>
    <mergeCell ref="A74:E74"/>
    <mergeCell ref="A76:F77"/>
    <mergeCell ref="A79:F80"/>
    <mergeCell ref="A82:F83"/>
    <mergeCell ref="A49:F51"/>
    <mergeCell ref="A53:F54"/>
    <mergeCell ref="A56:F57"/>
    <mergeCell ref="A59:F60"/>
    <mergeCell ref="A62:F62"/>
    <mergeCell ref="A64:F65"/>
    <mergeCell ref="A39:F40"/>
    <mergeCell ref="A42:F44"/>
    <mergeCell ref="A46:F47"/>
    <mergeCell ref="A15:F15"/>
    <mergeCell ref="A16:F16"/>
    <mergeCell ref="A17:F17"/>
    <mergeCell ref="A19:F20"/>
    <mergeCell ref="A22:F22"/>
    <mergeCell ref="A26:B26"/>
    <mergeCell ref="A7:F8"/>
    <mergeCell ref="A10:F10"/>
    <mergeCell ref="A11:F11"/>
    <mergeCell ref="A12:F12"/>
    <mergeCell ref="A13:F13"/>
    <mergeCell ref="A14:F14"/>
    <mergeCell ref="A28:F29"/>
    <mergeCell ref="A31:F34"/>
    <mergeCell ref="A36:F37"/>
  </mergeCells>
  <pageMargins left="0.70866141732283472" right="0.70866141732283472" top="0.74803149606299213" bottom="0.74803149606299213" header="0.31496062992125984" footer="0.31496062992125984"/>
  <pageSetup paperSize="9" scale="77" fitToHeight="0" orientation="portrait" r:id="rId1"/>
  <headerFooter>
    <oddHeader xml:space="preserve">&amp;L&amp;K01+029Investitor: Hrvatski institut za povijest&amp;CPreambule-konstrukcija&amp;R&amp;K01+030datum:
lipanj 2025.
</oddHeader>
    <oddFooter>&amp;CGrađevina:
Palača bogoštovlja i nastave&amp;Rstr.: &amp;P od &amp;N</oddFooter>
  </headerFooter>
  <rowBreaks count="3" manualBreakCount="3">
    <brk id="139" max="5" man="1"/>
    <brk id="158" max="5" man="1"/>
    <brk id="260"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66"/>
  </sheetPr>
  <dimension ref="A1:I607"/>
  <sheetViews>
    <sheetView showZeros="0" zoomScaleNormal="100" zoomScaleSheetLayoutView="120" workbookViewId="0">
      <selection activeCell="B10" sqref="B10"/>
    </sheetView>
  </sheetViews>
  <sheetFormatPr defaultColWidth="8.85546875" defaultRowHeight="15"/>
  <cols>
    <col min="1" max="1" width="10.85546875" style="344" customWidth="1"/>
    <col min="2" max="2" width="55.7109375" style="315" customWidth="1"/>
    <col min="3" max="3" width="8.7109375" style="315" customWidth="1"/>
    <col min="4" max="4" width="11.28515625" style="316" customWidth="1"/>
    <col min="5" max="5" width="11.28515625" style="352" customWidth="1"/>
    <col min="6" max="6" width="13.7109375" style="345" customWidth="1"/>
    <col min="7" max="7" width="15" style="308" customWidth="1"/>
    <col min="8" max="8" width="13.28515625" style="308" customWidth="1"/>
    <col min="9" max="9" width="17" style="308" customWidth="1"/>
    <col min="10" max="16384" width="8.85546875" style="308"/>
  </cols>
  <sheetData>
    <row r="1" spans="1:7" s="278" customFormat="1">
      <c r="A1" s="273" t="s">
        <v>106</v>
      </c>
      <c r="B1" s="274"/>
      <c r="C1" s="275" t="s">
        <v>105</v>
      </c>
      <c r="D1" s="276"/>
      <c r="E1" s="347" t="s">
        <v>164</v>
      </c>
      <c r="F1" s="277" t="s">
        <v>103</v>
      </c>
    </row>
    <row r="2" spans="1:7" s="278" customFormat="1">
      <c r="A2" s="279" t="s">
        <v>102</v>
      </c>
      <c r="B2" s="280" t="s">
        <v>101</v>
      </c>
      <c r="C2" s="281" t="s">
        <v>100</v>
      </c>
      <c r="D2" s="282" t="s">
        <v>99</v>
      </c>
      <c r="E2" s="348" t="s">
        <v>98</v>
      </c>
      <c r="F2" s="283" t="s">
        <v>98</v>
      </c>
    </row>
    <row r="3" spans="1:7" s="278" customFormat="1">
      <c r="A3" s="284"/>
      <c r="B3" s="285"/>
      <c r="C3" s="286"/>
      <c r="D3" s="287"/>
      <c r="E3" s="13"/>
      <c r="F3" s="288"/>
    </row>
    <row r="4" spans="1:7" s="278" customFormat="1">
      <c r="A4" s="289" t="s">
        <v>97</v>
      </c>
      <c r="B4" s="290" t="s">
        <v>96</v>
      </c>
      <c r="C4" s="291"/>
      <c r="D4" s="292"/>
      <c r="E4" s="349"/>
      <c r="F4" s="293"/>
    </row>
    <row r="5" spans="1:7" s="278" customFormat="1">
      <c r="A5" s="284"/>
      <c r="B5" s="294"/>
      <c r="C5" s="286"/>
      <c r="D5" s="287"/>
      <c r="E5" s="13"/>
      <c r="F5" s="288"/>
    </row>
    <row r="6" spans="1:7" s="278" customFormat="1">
      <c r="A6" s="289" t="s">
        <v>1555</v>
      </c>
      <c r="B6" s="290" t="s">
        <v>95</v>
      </c>
      <c r="C6" s="295"/>
      <c r="D6" s="296"/>
      <c r="E6" s="350"/>
      <c r="F6" s="297"/>
    </row>
    <row r="7" spans="1:7" s="278" customFormat="1">
      <c r="A7" s="284"/>
      <c r="B7" s="298"/>
      <c r="C7" s="286"/>
      <c r="D7" s="287"/>
      <c r="E7" s="13"/>
      <c r="F7" s="288"/>
    </row>
    <row r="8" spans="1:7" s="278" customFormat="1">
      <c r="A8" s="289" t="s">
        <v>1556</v>
      </c>
      <c r="B8" s="290" t="s">
        <v>1557</v>
      </c>
      <c r="C8" s="295"/>
      <c r="D8" s="296"/>
      <c r="E8" s="350"/>
      <c r="F8" s="297"/>
    </row>
    <row r="9" spans="1:7" s="278" customFormat="1">
      <c r="A9" s="299"/>
      <c r="B9" s="285"/>
      <c r="C9" s="300"/>
      <c r="D9" s="301"/>
      <c r="E9" s="10"/>
      <c r="F9" s="302"/>
    </row>
    <row r="10" spans="1:7" ht="90">
      <c r="A10" s="303"/>
      <c r="B10" s="304" t="s">
        <v>518</v>
      </c>
      <c r="C10" s="305"/>
      <c r="D10" s="306"/>
      <c r="E10" s="7"/>
      <c r="F10" s="307"/>
    </row>
    <row r="11" spans="1:7">
      <c r="A11" s="303"/>
      <c r="B11" s="309"/>
      <c r="C11" s="305"/>
      <c r="D11" s="306"/>
      <c r="E11" s="7"/>
      <c r="F11" s="307"/>
    </row>
    <row r="12" spans="1:7" s="278" customFormat="1">
      <c r="A12" s="310">
        <v>1</v>
      </c>
      <c r="B12" s="311" t="s">
        <v>517</v>
      </c>
      <c r="C12" s="300"/>
      <c r="D12" s="301"/>
      <c r="E12" s="10"/>
      <c r="F12" s="302">
        <f t="shared" ref="F12:F13" si="0">E12*D12</f>
        <v>0</v>
      </c>
      <c r="G12" s="308"/>
    </row>
    <row r="13" spans="1:7" s="278" customFormat="1" ht="76.5">
      <c r="A13" s="299"/>
      <c r="B13" s="312" t="s">
        <v>531</v>
      </c>
      <c r="C13" s="300"/>
      <c r="D13" s="301"/>
      <c r="E13" s="10"/>
      <c r="F13" s="302">
        <f t="shared" si="0"/>
        <v>0</v>
      </c>
    </row>
    <row r="14" spans="1:7" s="278" customFormat="1">
      <c r="A14" s="299"/>
      <c r="B14" s="312" t="s">
        <v>257</v>
      </c>
      <c r="C14" s="300" t="s">
        <v>66</v>
      </c>
      <c r="D14" s="301">
        <v>0.2</v>
      </c>
      <c r="E14" s="10"/>
      <c r="F14" s="302">
        <f>E14*D14</f>
        <v>0</v>
      </c>
    </row>
    <row r="15" spans="1:7">
      <c r="A15" s="303"/>
      <c r="B15" s="313"/>
      <c r="C15" s="305"/>
      <c r="D15" s="306"/>
      <c r="E15" s="7"/>
      <c r="F15" s="302">
        <f t="shared" ref="F15:F82" si="1">E15*D15</f>
        <v>0</v>
      </c>
    </row>
    <row r="16" spans="1:7" s="278" customFormat="1">
      <c r="A16" s="310">
        <f>IF(B16&gt;0,MAX(A10:A15)+1,"")</f>
        <v>2</v>
      </c>
      <c r="B16" s="311" t="s">
        <v>519</v>
      </c>
      <c r="C16" s="300"/>
      <c r="D16" s="301"/>
      <c r="E16" s="10"/>
      <c r="F16" s="302">
        <f t="shared" si="1"/>
        <v>0</v>
      </c>
    </row>
    <row r="17" spans="1:6" s="278" customFormat="1" ht="89.25">
      <c r="A17" s="299"/>
      <c r="B17" s="312" t="s">
        <v>1908</v>
      </c>
      <c r="C17" s="300"/>
      <c r="D17" s="301"/>
      <c r="E17" s="10"/>
      <c r="F17" s="302">
        <f t="shared" si="1"/>
        <v>0</v>
      </c>
    </row>
    <row r="18" spans="1:6" s="278" customFormat="1">
      <c r="A18" s="299"/>
      <c r="B18" s="312" t="s">
        <v>257</v>
      </c>
      <c r="C18" s="300" t="s">
        <v>66</v>
      </c>
      <c r="D18" s="301">
        <v>1.6</v>
      </c>
      <c r="E18" s="10"/>
      <c r="F18" s="302">
        <f t="shared" si="1"/>
        <v>0</v>
      </c>
    </row>
    <row r="19" spans="1:6" s="278" customFormat="1">
      <c r="A19" s="299"/>
      <c r="B19" s="312"/>
      <c r="C19" s="300"/>
      <c r="D19" s="301"/>
      <c r="E19" s="10"/>
      <c r="F19" s="302"/>
    </row>
    <row r="20" spans="1:6" s="278" customFormat="1">
      <c r="A20" s="310">
        <f>IF(B20&gt;0,MAX(A14:A19)+1,"")</f>
        <v>3</v>
      </c>
      <c r="B20" s="311" t="s">
        <v>5495</v>
      </c>
      <c r="C20" s="300"/>
      <c r="D20" s="301"/>
      <c r="E20" s="10"/>
      <c r="F20" s="302"/>
    </row>
    <row r="21" spans="1:6" s="278" customFormat="1" ht="63.75">
      <c r="A21" s="299"/>
      <c r="B21" s="312" t="s">
        <v>5496</v>
      </c>
      <c r="C21" s="300"/>
      <c r="D21" s="301"/>
      <c r="E21" s="10"/>
      <c r="F21" s="302"/>
    </row>
    <row r="22" spans="1:6" s="278" customFormat="1">
      <c r="A22" s="299"/>
      <c r="B22" s="312" t="s">
        <v>257</v>
      </c>
      <c r="C22" s="300" t="s">
        <v>66</v>
      </c>
      <c r="D22" s="301">
        <v>2.8</v>
      </c>
      <c r="E22" s="10"/>
      <c r="F22" s="302">
        <f t="shared" ref="F22" si="2">E22*D22</f>
        <v>0</v>
      </c>
    </row>
    <row r="23" spans="1:6" s="278" customFormat="1">
      <c r="A23" s="303"/>
      <c r="B23" s="313"/>
      <c r="C23" s="305"/>
      <c r="D23" s="306"/>
      <c r="E23" s="7"/>
      <c r="F23" s="302">
        <f t="shared" si="1"/>
        <v>0</v>
      </c>
    </row>
    <row r="24" spans="1:6" s="278" customFormat="1">
      <c r="A24" s="310">
        <f>IF(B24&gt;0,MAX(A14:A23)+1,"")</f>
        <v>4</v>
      </c>
      <c r="B24" s="311" t="s">
        <v>1476</v>
      </c>
      <c r="C24" s="300"/>
      <c r="D24" s="301"/>
      <c r="E24" s="10"/>
      <c r="F24" s="302">
        <f t="shared" si="1"/>
        <v>0</v>
      </c>
    </row>
    <row r="25" spans="1:6" s="278" customFormat="1" ht="127.5">
      <c r="A25" s="299"/>
      <c r="B25" s="312" t="s">
        <v>1475</v>
      </c>
      <c r="C25" s="300"/>
      <c r="D25" s="301"/>
      <c r="E25" s="10"/>
      <c r="F25" s="302">
        <f t="shared" si="1"/>
        <v>0</v>
      </c>
    </row>
    <row r="26" spans="1:6">
      <c r="A26" s="299"/>
      <c r="B26" s="312" t="s">
        <v>257</v>
      </c>
      <c r="C26" s="300" t="s">
        <v>66</v>
      </c>
      <c r="D26" s="301">
        <v>3.5</v>
      </c>
      <c r="E26" s="10"/>
      <c r="F26" s="302">
        <f t="shared" si="1"/>
        <v>0</v>
      </c>
    </row>
    <row r="27" spans="1:6" s="278" customFormat="1">
      <c r="A27" s="303"/>
      <c r="B27" s="309"/>
      <c r="C27" s="305"/>
      <c r="D27" s="306"/>
      <c r="E27" s="7"/>
      <c r="F27" s="302">
        <f t="shared" si="1"/>
        <v>0</v>
      </c>
    </row>
    <row r="28" spans="1:6" s="278" customFormat="1">
      <c r="A28" s="310">
        <f>IF(B28&gt;0,MAX(A18:A27)+1,"")</f>
        <v>5</v>
      </c>
      <c r="B28" s="311" t="s">
        <v>1917</v>
      </c>
      <c r="C28" s="300"/>
      <c r="D28" s="301"/>
      <c r="E28" s="10"/>
      <c r="F28" s="302">
        <f t="shared" si="1"/>
        <v>0</v>
      </c>
    </row>
    <row r="29" spans="1:6" s="278" customFormat="1" ht="89.25">
      <c r="A29" s="299"/>
      <c r="B29" s="312" t="s">
        <v>1916</v>
      </c>
      <c r="C29" s="300"/>
      <c r="D29" s="301"/>
      <c r="E29" s="10"/>
      <c r="F29" s="302">
        <f t="shared" si="1"/>
        <v>0</v>
      </c>
    </row>
    <row r="30" spans="1:6">
      <c r="A30" s="299"/>
      <c r="B30" s="312" t="s">
        <v>257</v>
      </c>
      <c r="C30" s="300" t="s">
        <v>66</v>
      </c>
      <c r="D30" s="301">
        <v>2.2000000000000002</v>
      </c>
      <c r="E30" s="10"/>
      <c r="F30" s="302">
        <f t="shared" si="1"/>
        <v>0</v>
      </c>
    </row>
    <row r="31" spans="1:6" s="278" customFormat="1">
      <c r="A31" s="299"/>
      <c r="B31" s="312"/>
      <c r="C31" s="300"/>
      <c r="D31" s="301"/>
      <c r="E31" s="10"/>
      <c r="F31" s="302">
        <f t="shared" si="1"/>
        <v>0</v>
      </c>
    </row>
    <row r="32" spans="1:6" s="278" customFormat="1">
      <c r="A32" s="310">
        <f>IF(B32&gt;0,MAX(A18:A29)+1,"")</f>
        <v>6</v>
      </c>
      <c r="B32" s="314" t="s">
        <v>1909</v>
      </c>
      <c r="C32" s="305"/>
      <c r="D32" s="306"/>
      <c r="E32" s="7"/>
      <c r="F32" s="302">
        <f t="shared" si="1"/>
        <v>0</v>
      </c>
    </row>
    <row r="33" spans="1:7" s="278" customFormat="1" ht="76.5">
      <c r="A33" s="303"/>
      <c r="B33" s="312" t="s">
        <v>1910</v>
      </c>
      <c r="C33" s="305"/>
      <c r="D33" s="306"/>
      <c r="E33" s="7"/>
      <c r="F33" s="302">
        <f t="shared" si="1"/>
        <v>0</v>
      </c>
    </row>
    <row r="34" spans="1:7" s="278" customFormat="1">
      <c r="A34" s="303"/>
      <c r="B34" s="312" t="s">
        <v>232</v>
      </c>
      <c r="C34" s="300" t="s">
        <v>27</v>
      </c>
      <c r="D34" s="301">
        <v>20.7</v>
      </c>
      <c r="E34" s="7"/>
      <c r="F34" s="302">
        <f t="shared" si="1"/>
        <v>0</v>
      </c>
    </row>
    <row r="35" spans="1:7">
      <c r="A35" s="303"/>
      <c r="B35" s="285"/>
      <c r="C35" s="305"/>
      <c r="D35" s="306"/>
      <c r="E35" s="7"/>
      <c r="F35" s="302">
        <f t="shared" si="1"/>
        <v>0</v>
      </c>
    </row>
    <row r="36" spans="1:7" ht="30">
      <c r="A36" s="310">
        <f>IF(B36&gt;0,MAX(A26:A35)+1,"")</f>
        <v>7</v>
      </c>
      <c r="B36" s="311" t="s">
        <v>543</v>
      </c>
      <c r="C36" s="305"/>
      <c r="D36" s="306"/>
      <c r="E36" s="7"/>
      <c r="F36" s="302">
        <f t="shared" si="1"/>
        <v>0</v>
      </c>
    </row>
    <row r="37" spans="1:7" ht="63.75">
      <c r="A37" s="303"/>
      <c r="B37" s="312" t="s">
        <v>548</v>
      </c>
      <c r="C37" s="305"/>
      <c r="D37" s="306"/>
      <c r="E37" s="7"/>
      <c r="F37" s="302">
        <f t="shared" si="1"/>
        <v>0</v>
      </c>
    </row>
    <row r="38" spans="1:7">
      <c r="A38" s="303"/>
      <c r="B38" s="312" t="s">
        <v>232</v>
      </c>
      <c r="C38" s="300" t="s">
        <v>27</v>
      </c>
      <c r="D38" s="301">
        <v>299</v>
      </c>
      <c r="E38" s="7"/>
      <c r="F38" s="302">
        <f t="shared" si="1"/>
        <v>0</v>
      </c>
    </row>
    <row r="39" spans="1:7">
      <c r="A39" s="303"/>
      <c r="B39" s="312"/>
      <c r="C39" s="300"/>
      <c r="D39" s="301"/>
      <c r="E39" s="7"/>
      <c r="F39" s="302">
        <f t="shared" si="1"/>
        <v>0</v>
      </c>
    </row>
    <row r="40" spans="1:7" ht="30">
      <c r="A40" s="310">
        <f>IF(B40&gt;0,MAX(A34:A39)+1,"")</f>
        <v>8</v>
      </c>
      <c r="B40" s="311" t="s">
        <v>1489</v>
      </c>
      <c r="C40" s="305"/>
      <c r="D40" s="306"/>
      <c r="E40" s="7"/>
      <c r="F40" s="302">
        <f t="shared" si="1"/>
        <v>0</v>
      </c>
    </row>
    <row r="41" spans="1:7" ht="102">
      <c r="A41" s="303"/>
      <c r="B41" s="312" t="s">
        <v>1508</v>
      </c>
      <c r="C41" s="305"/>
      <c r="D41" s="306"/>
      <c r="E41" s="7"/>
      <c r="F41" s="302">
        <f t="shared" si="1"/>
        <v>0</v>
      </c>
    </row>
    <row r="42" spans="1:7" ht="25.5">
      <c r="A42" s="303"/>
      <c r="B42" s="312" t="s">
        <v>1488</v>
      </c>
      <c r="C42" s="305"/>
      <c r="D42" s="306"/>
      <c r="E42" s="7"/>
      <c r="F42" s="302">
        <f t="shared" si="1"/>
        <v>0</v>
      </c>
    </row>
    <row r="43" spans="1:7">
      <c r="A43" s="303"/>
      <c r="B43" s="312" t="s">
        <v>256</v>
      </c>
      <c r="C43" s="300" t="s">
        <v>66</v>
      </c>
      <c r="D43" s="301">
        <v>95</v>
      </c>
      <c r="E43" s="7"/>
      <c r="F43" s="302">
        <f t="shared" si="1"/>
        <v>0</v>
      </c>
      <c r="G43" s="278"/>
    </row>
    <row r="44" spans="1:7">
      <c r="A44" s="303"/>
      <c r="B44" s="312"/>
      <c r="C44" s="300"/>
      <c r="D44" s="301"/>
      <c r="E44" s="7"/>
      <c r="F44" s="302">
        <f t="shared" si="1"/>
        <v>0</v>
      </c>
    </row>
    <row r="45" spans="1:7">
      <c r="A45" s="310">
        <f>IF(B45&gt;0,MAX(A39:A44)+1,"")</f>
        <v>9</v>
      </c>
      <c r="B45" s="311" t="s">
        <v>590</v>
      </c>
      <c r="C45" s="305"/>
      <c r="D45" s="306"/>
      <c r="E45" s="7"/>
      <c r="F45" s="302">
        <f t="shared" si="1"/>
        <v>0</v>
      </c>
    </row>
    <row r="46" spans="1:7" ht="76.5">
      <c r="A46" s="303"/>
      <c r="B46" s="312" t="s">
        <v>591</v>
      </c>
      <c r="C46" s="305"/>
      <c r="D46" s="306"/>
      <c r="E46" s="7"/>
      <c r="F46" s="302">
        <f t="shared" si="1"/>
        <v>0</v>
      </c>
    </row>
    <row r="47" spans="1:7">
      <c r="A47" s="303"/>
      <c r="B47" s="312" t="s">
        <v>232</v>
      </c>
      <c r="E47" s="7"/>
      <c r="F47" s="302">
        <f t="shared" si="1"/>
        <v>0</v>
      </c>
    </row>
    <row r="48" spans="1:7">
      <c r="A48" s="303"/>
      <c r="B48" s="312" t="s">
        <v>592</v>
      </c>
      <c r="C48" s="300" t="s">
        <v>27</v>
      </c>
      <c r="D48" s="301">
        <v>187.7</v>
      </c>
      <c r="E48" s="7"/>
      <c r="F48" s="302">
        <f t="shared" si="1"/>
        <v>0</v>
      </c>
    </row>
    <row r="49" spans="1:7">
      <c r="A49" s="303"/>
      <c r="B49" s="312" t="s">
        <v>593</v>
      </c>
      <c r="C49" s="300" t="s">
        <v>27</v>
      </c>
      <c r="D49" s="301">
        <v>188.4</v>
      </c>
      <c r="E49" s="7"/>
      <c r="F49" s="302">
        <f t="shared" si="1"/>
        <v>0</v>
      </c>
    </row>
    <row r="50" spans="1:7">
      <c r="A50" s="303"/>
      <c r="B50" s="312"/>
      <c r="C50" s="300"/>
      <c r="D50" s="301"/>
      <c r="E50" s="7"/>
      <c r="F50" s="302">
        <f t="shared" si="1"/>
        <v>0</v>
      </c>
    </row>
    <row r="51" spans="1:7" ht="30">
      <c r="A51" s="310">
        <f>IF(B51&gt;0,MAX(A45:A50)+1,"")</f>
        <v>10</v>
      </c>
      <c r="B51" s="311" t="s">
        <v>1487</v>
      </c>
      <c r="C51" s="305"/>
      <c r="D51" s="306"/>
      <c r="E51" s="7"/>
      <c r="F51" s="302">
        <f t="shared" si="1"/>
        <v>0</v>
      </c>
    </row>
    <row r="52" spans="1:7" ht="89.25">
      <c r="A52" s="303"/>
      <c r="B52" s="312" t="s">
        <v>1509</v>
      </c>
      <c r="C52" s="305"/>
      <c r="D52" s="306"/>
      <c r="E52" s="7"/>
      <c r="F52" s="302">
        <f t="shared" si="1"/>
        <v>0</v>
      </c>
    </row>
    <row r="53" spans="1:7" ht="25.5">
      <c r="A53" s="303"/>
      <c r="B53" s="312" t="s">
        <v>1488</v>
      </c>
      <c r="C53" s="305"/>
      <c r="D53" s="306"/>
      <c r="E53" s="7"/>
      <c r="F53" s="302">
        <f t="shared" si="1"/>
        <v>0</v>
      </c>
    </row>
    <row r="54" spans="1:7">
      <c r="A54" s="303"/>
      <c r="B54" s="312" t="s">
        <v>257</v>
      </c>
      <c r="C54" s="300" t="s">
        <v>66</v>
      </c>
      <c r="D54" s="301">
        <v>25</v>
      </c>
      <c r="E54" s="7"/>
      <c r="F54" s="302">
        <f t="shared" si="1"/>
        <v>0</v>
      </c>
      <c r="G54" s="278"/>
    </row>
    <row r="55" spans="1:7">
      <c r="A55" s="303"/>
      <c r="B55" s="312"/>
      <c r="C55" s="300"/>
      <c r="D55" s="301"/>
      <c r="E55" s="7"/>
      <c r="F55" s="302">
        <f t="shared" si="1"/>
        <v>0</v>
      </c>
    </row>
    <row r="56" spans="1:7" ht="30">
      <c r="A56" s="310">
        <f>IF(B56&gt;0,MAX(A50:A55)+1,"")</f>
        <v>11</v>
      </c>
      <c r="B56" s="311" t="s">
        <v>1490</v>
      </c>
      <c r="C56" s="305"/>
      <c r="D56" s="306"/>
      <c r="E56" s="7"/>
      <c r="F56" s="302">
        <f t="shared" si="1"/>
        <v>0</v>
      </c>
    </row>
    <row r="57" spans="1:7" ht="89.25">
      <c r="A57" s="303"/>
      <c r="B57" s="312" t="s">
        <v>1915</v>
      </c>
      <c r="C57" s="305"/>
      <c r="D57" s="306"/>
      <c r="E57" s="7"/>
      <c r="F57" s="302">
        <f t="shared" si="1"/>
        <v>0</v>
      </c>
    </row>
    <row r="58" spans="1:7">
      <c r="A58" s="303"/>
      <c r="B58" s="312" t="s">
        <v>232</v>
      </c>
      <c r="C58" s="317" t="s">
        <v>27</v>
      </c>
      <c r="D58" s="318">
        <v>8.6</v>
      </c>
      <c r="E58" s="7"/>
      <c r="F58" s="302">
        <f t="shared" si="1"/>
        <v>0</v>
      </c>
    </row>
    <row r="59" spans="1:7">
      <c r="A59" s="303"/>
      <c r="B59" s="312"/>
      <c r="C59" s="300"/>
      <c r="D59" s="301"/>
      <c r="E59" s="7"/>
      <c r="F59" s="302">
        <f t="shared" si="1"/>
        <v>0</v>
      </c>
    </row>
    <row r="60" spans="1:7">
      <c r="A60" s="310">
        <f>IF(B60&gt;0,MAX(A54:A59)+1,"")</f>
        <v>12</v>
      </c>
      <c r="B60" s="314" t="s">
        <v>544</v>
      </c>
      <c r="C60" s="300"/>
      <c r="D60" s="301"/>
      <c r="E60" s="10"/>
      <c r="F60" s="302">
        <f t="shared" si="1"/>
        <v>0</v>
      </c>
    </row>
    <row r="61" spans="1:7" ht="89.25">
      <c r="A61" s="299"/>
      <c r="B61" s="312" t="s">
        <v>1495</v>
      </c>
      <c r="C61" s="300"/>
      <c r="D61" s="301"/>
      <c r="E61" s="10"/>
      <c r="F61" s="302">
        <f t="shared" si="1"/>
        <v>0</v>
      </c>
    </row>
    <row r="62" spans="1:7">
      <c r="A62" s="299"/>
      <c r="B62" s="312" t="s">
        <v>28</v>
      </c>
      <c r="C62" s="300"/>
      <c r="D62" s="301"/>
      <c r="E62" s="10"/>
      <c r="F62" s="302">
        <f t="shared" si="1"/>
        <v>0</v>
      </c>
    </row>
    <row r="63" spans="1:7" s="278" customFormat="1">
      <c r="A63" s="299"/>
      <c r="B63" s="312" t="s">
        <v>545</v>
      </c>
      <c r="C63" s="300" t="s">
        <v>27</v>
      </c>
      <c r="D63" s="301">
        <v>20.7</v>
      </c>
      <c r="E63" s="10"/>
      <c r="F63" s="302">
        <f t="shared" si="1"/>
        <v>0</v>
      </c>
    </row>
    <row r="64" spans="1:7" s="278" customFormat="1">
      <c r="A64" s="299"/>
      <c r="B64" s="312" t="s">
        <v>546</v>
      </c>
      <c r="C64" s="300" t="s">
        <v>27</v>
      </c>
      <c r="D64" s="301">
        <v>61.3</v>
      </c>
      <c r="E64" s="10"/>
      <c r="F64" s="302">
        <f t="shared" si="1"/>
        <v>0</v>
      </c>
    </row>
    <row r="65" spans="1:6" s="278" customFormat="1">
      <c r="A65" s="299"/>
      <c r="B65" s="312" t="s">
        <v>563</v>
      </c>
      <c r="C65" s="300" t="s">
        <v>27</v>
      </c>
      <c r="D65" s="301">
        <v>199.2</v>
      </c>
      <c r="E65" s="10"/>
      <c r="F65" s="302">
        <f t="shared" si="1"/>
        <v>0</v>
      </c>
    </row>
    <row r="66" spans="1:6" s="278" customFormat="1">
      <c r="A66" s="299"/>
      <c r="B66" s="312" t="s">
        <v>564</v>
      </c>
      <c r="C66" s="300" t="s">
        <v>27</v>
      </c>
      <c r="D66" s="301">
        <v>186.1</v>
      </c>
      <c r="E66" s="10"/>
      <c r="F66" s="302">
        <f t="shared" si="1"/>
        <v>0</v>
      </c>
    </row>
    <row r="67" spans="1:6" s="278" customFormat="1">
      <c r="A67" s="319"/>
      <c r="B67" s="320"/>
      <c r="C67" s="305"/>
      <c r="D67" s="306"/>
      <c r="E67" s="7"/>
      <c r="F67" s="302">
        <f t="shared" si="1"/>
        <v>0</v>
      </c>
    </row>
    <row r="68" spans="1:6" s="278" customFormat="1">
      <c r="A68" s="310">
        <f>IF(B68&gt;0,MAX(A58:A67)+1,"")</f>
        <v>13</v>
      </c>
      <c r="B68" s="314" t="s">
        <v>562</v>
      </c>
      <c r="C68" s="300"/>
      <c r="D68" s="301"/>
      <c r="E68" s="10"/>
      <c r="F68" s="302">
        <f t="shared" si="1"/>
        <v>0</v>
      </c>
    </row>
    <row r="69" spans="1:6" s="278" customFormat="1" ht="63.75">
      <c r="A69" s="299"/>
      <c r="B69" s="312" t="s">
        <v>1496</v>
      </c>
      <c r="C69" s="300"/>
      <c r="D69" s="301"/>
      <c r="E69" s="10"/>
      <c r="F69" s="302">
        <f t="shared" si="1"/>
        <v>0</v>
      </c>
    </row>
    <row r="70" spans="1:6">
      <c r="A70" s="299"/>
      <c r="B70" s="312" t="s">
        <v>28</v>
      </c>
      <c r="C70" s="300"/>
      <c r="D70" s="301"/>
      <c r="E70" s="10"/>
      <c r="F70" s="302">
        <f t="shared" si="1"/>
        <v>0</v>
      </c>
    </row>
    <row r="71" spans="1:6" s="278" customFormat="1">
      <c r="A71" s="299"/>
      <c r="B71" s="312" t="s">
        <v>547</v>
      </c>
      <c r="C71" s="300" t="s">
        <v>27</v>
      </c>
      <c r="D71" s="301">
        <v>150.4</v>
      </c>
      <c r="E71" s="10"/>
      <c r="F71" s="302">
        <f t="shared" si="1"/>
        <v>0</v>
      </c>
    </row>
    <row r="72" spans="1:6" s="278" customFormat="1">
      <c r="A72" s="299"/>
      <c r="B72" s="312"/>
      <c r="C72" s="300"/>
      <c r="D72" s="301"/>
      <c r="E72" s="10"/>
      <c r="F72" s="302">
        <f t="shared" si="1"/>
        <v>0</v>
      </c>
    </row>
    <row r="73" spans="1:6" s="278" customFormat="1">
      <c r="A73" s="310">
        <f>IF(B73&gt;0,MAX(A63:A72)+1,"")</f>
        <v>14</v>
      </c>
      <c r="B73" s="314" t="s">
        <v>580</v>
      </c>
      <c r="C73" s="300"/>
      <c r="D73" s="301"/>
      <c r="E73" s="10"/>
      <c r="F73" s="302">
        <f t="shared" si="1"/>
        <v>0</v>
      </c>
    </row>
    <row r="74" spans="1:6" s="278" customFormat="1" ht="63.75">
      <c r="A74" s="299"/>
      <c r="B74" s="312" t="s">
        <v>1497</v>
      </c>
      <c r="C74" s="300"/>
      <c r="D74" s="301"/>
      <c r="E74" s="10"/>
      <c r="F74" s="302">
        <f t="shared" si="1"/>
        <v>0</v>
      </c>
    </row>
    <row r="75" spans="1:6" s="278" customFormat="1">
      <c r="A75" s="299"/>
      <c r="B75" s="312" t="s">
        <v>28</v>
      </c>
      <c r="C75" s="300" t="s">
        <v>27</v>
      </c>
      <c r="D75" s="301">
        <f>7.1+4.8</f>
        <v>11.9</v>
      </c>
      <c r="E75" s="10"/>
      <c r="F75" s="302">
        <f t="shared" si="1"/>
        <v>0</v>
      </c>
    </row>
    <row r="76" spans="1:6" s="278" customFormat="1">
      <c r="A76" s="299"/>
      <c r="B76" s="312"/>
      <c r="C76" s="317"/>
      <c r="D76" s="318"/>
      <c r="E76" s="10"/>
      <c r="F76" s="302">
        <f t="shared" si="1"/>
        <v>0</v>
      </c>
    </row>
    <row r="77" spans="1:6" s="278" customFormat="1" ht="30">
      <c r="A77" s="310">
        <f>IF(B77&gt;0,MAX(A68:A76)+1,"")</f>
        <v>15</v>
      </c>
      <c r="B77" s="314" t="s">
        <v>1872</v>
      </c>
      <c r="C77" s="305"/>
      <c r="D77" s="306"/>
      <c r="E77" s="7"/>
      <c r="F77" s="302">
        <f t="shared" si="1"/>
        <v>0</v>
      </c>
    </row>
    <row r="78" spans="1:6" s="278" customFormat="1" ht="89.25">
      <c r="A78" s="303"/>
      <c r="B78" s="312" t="s">
        <v>1873</v>
      </c>
      <c r="C78" s="305"/>
      <c r="D78" s="301"/>
      <c r="E78" s="7"/>
      <c r="F78" s="302">
        <f t="shared" si="1"/>
        <v>0</v>
      </c>
    </row>
    <row r="79" spans="1:6" s="278" customFormat="1">
      <c r="A79" s="303"/>
      <c r="B79" s="304" t="s">
        <v>255</v>
      </c>
      <c r="C79" s="305"/>
      <c r="D79" s="301"/>
      <c r="E79" s="7"/>
      <c r="F79" s="302">
        <f t="shared" si="1"/>
        <v>0</v>
      </c>
    </row>
    <row r="80" spans="1:6">
      <c r="A80" s="303"/>
      <c r="B80" s="312" t="s">
        <v>520</v>
      </c>
      <c r="C80" s="300" t="s">
        <v>34</v>
      </c>
      <c r="D80" s="301">
        <v>8</v>
      </c>
      <c r="E80" s="7"/>
      <c r="F80" s="302">
        <f t="shared" si="1"/>
        <v>0</v>
      </c>
    </row>
    <row r="81" spans="1:6">
      <c r="A81" s="303"/>
      <c r="B81" s="312" t="s">
        <v>596</v>
      </c>
      <c r="C81" s="300" t="s">
        <v>34</v>
      </c>
      <c r="D81" s="301">
        <v>8</v>
      </c>
      <c r="E81" s="7"/>
      <c r="F81" s="302">
        <f t="shared" si="1"/>
        <v>0</v>
      </c>
    </row>
    <row r="82" spans="1:6">
      <c r="A82" s="303"/>
      <c r="B82" s="312" t="s">
        <v>521</v>
      </c>
      <c r="C82" s="300" t="s">
        <v>34</v>
      </c>
      <c r="D82" s="301">
        <v>8</v>
      </c>
      <c r="E82" s="7"/>
      <c r="F82" s="302">
        <f t="shared" si="1"/>
        <v>0</v>
      </c>
    </row>
    <row r="83" spans="1:6">
      <c r="A83" s="303"/>
      <c r="B83" s="309"/>
      <c r="C83" s="305"/>
      <c r="D83" s="301"/>
      <c r="E83" s="7"/>
      <c r="F83" s="302">
        <f t="shared" ref="F83:F146" si="3">E83*D83</f>
        <v>0</v>
      </c>
    </row>
    <row r="84" spans="1:6">
      <c r="A84" s="310">
        <f>IF(B84&gt;0,MAX(A73:A83)+1,"")</f>
        <v>16</v>
      </c>
      <c r="B84" s="321" t="s">
        <v>1848</v>
      </c>
      <c r="C84" s="305"/>
      <c r="D84" s="301"/>
      <c r="E84" s="7"/>
      <c r="F84" s="302">
        <f t="shared" si="3"/>
        <v>0</v>
      </c>
    </row>
    <row r="85" spans="1:6" ht="77.25">
      <c r="A85" s="303"/>
      <c r="B85" s="304" t="s">
        <v>1849</v>
      </c>
      <c r="C85" s="305"/>
      <c r="D85" s="306"/>
      <c r="E85" s="7"/>
      <c r="F85" s="302">
        <f t="shared" si="3"/>
        <v>0</v>
      </c>
    </row>
    <row r="86" spans="1:6">
      <c r="A86" s="303"/>
      <c r="B86" s="322" t="s">
        <v>561</v>
      </c>
      <c r="C86" s="300" t="s">
        <v>34</v>
      </c>
      <c r="D86" s="301">
        <v>1</v>
      </c>
      <c r="E86" s="7"/>
      <c r="F86" s="302">
        <f t="shared" si="3"/>
        <v>0</v>
      </c>
    </row>
    <row r="87" spans="1:6">
      <c r="A87" s="303"/>
      <c r="B87" s="309"/>
      <c r="C87" s="305"/>
      <c r="D87" s="306"/>
      <c r="E87" s="7"/>
      <c r="F87" s="302">
        <f t="shared" si="3"/>
        <v>0</v>
      </c>
    </row>
    <row r="88" spans="1:6">
      <c r="A88" s="310">
        <f>IF(B88&gt;0,MAX(A82:A87)+1,"")</f>
        <v>17</v>
      </c>
      <c r="B88" s="321" t="s">
        <v>523</v>
      </c>
      <c r="C88" s="305"/>
      <c r="D88" s="306"/>
      <c r="E88" s="7"/>
      <c r="F88" s="302">
        <f t="shared" si="3"/>
        <v>0</v>
      </c>
    </row>
    <row r="89" spans="1:6" ht="114.75">
      <c r="A89" s="303"/>
      <c r="B89" s="312" t="s">
        <v>597</v>
      </c>
      <c r="C89" s="305"/>
      <c r="D89" s="306"/>
      <c r="E89" s="7"/>
      <c r="F89" s="302">
        <f t="shared" si="3"/>
        <v>0</v>
      </c>
    </row>
    <row r="90" spans="1:6">
      <c r="A90" s="303"/>
      <c r="B90" s="322" t="s">
        <v>522</v>
      </c>
      <c r="C90" s="300"/>
      <c r="D90" s="301"/>
      <c r="E90" s="7"/>
      <c r="F90" s="302">
        <f t="shared" si="3"/>
        <v>0</v>
      </c>
    </row>
    <row r="91" spans="1:6">
      <c r="A91" s="299"/>
      <c r="B91" s="322" t="s">
        <v>520</v>
      </c>
      <c r="C91" s="300" t="s">
        <v>34</v>
      </c>
      <c r="D91" s="301">
        <v>1</v>
      </c>
      <c r="E91" s="10"/>
      <c r="F91" s="302">
        <f t="shared" si="3"/>
        <v>0</v>
      </c>
    </row>
    <row r="92" spans="1:6">
      <c r="A92" s="299"/>
      <c r="B92" s="322" t="s">
        <v>596</v>
      </c>
      <c r="C92" s="300" t="s">
        <v>34</v>
      </c>
      <c r="D92" s="301">
        <v>1</v>
      </c>
      <c r="E92" s="10"/>
      <c r="F92" s="302">
        <f t="shared" si="3"/>
        <v>0</v>
      </c>
    </row>
    <row r="93" spans="1:6">
      <c r="A93" s="299"/>
      <c r="B93" s="322" t="s">
        <v>521</v>
      </c>
      <c r="C93" s="300" t="s">
        <v>34</v>
      </c>
      <c r="D93" s="301">
        <v>1</v>
      </c>
      <c r="E93" s="10"/>
      <c r="F93" s="302">
        <f t="shared" si="3"/>
        <v>0</v>
      </c>
    </row>
    <row r="94" spans="1:6" s="278" customFormat="1" ht="13.15" customHeight="1">
      <c r="A94" s="303"/>
      <c r="B94" s="309"/>
      <c r="C94" s="305"/>
      <c r="D94" s="306"/>
      <c r="E94" s="7"/>
      <c r="F94" s="302">
        <f t="shared" si="3"/>
        <v>0</v>
      </c>
    </row>
    <row r="95" spans="1:6" s="278" customFormat="1">
      <c r="A95" s="310">
        <f>IF(B95&gt;0,MAX(A85:A94)+1,"")</f>
        <v>18</v>
      </c>
      <c r="B95" s="321" t="s">
        <v>581</v>
      </c>
      <c r="C95" s="300"/>
      <c r="D95" s="301"/>
      <c r="E95" s="10"/>
      <c r="F95" s="302">
        <f t="shared" si="3"/>
        <v>0</v>
      </c>
    </row>
    <row r="96" spans="1:6" s="278" customFormat="1" ht="114.75">
      <c r="A96" s="299"/>
      <c r="B96" s="312" t="s">
        <v>584</v>
      </c>
      <c r="C96" s="300"/>
      <c r="D96" s="301"/>
      <c r="E96" s="10"/>
      <c r="F96" s="302">
        <f t="shared" si="3"/>
        <v>0</v>
      </c>
    </row>
    <row r="97" spans="1:7">
      <c r="A97" s="299"/>
      <c r="B97" s="312" t="s">
        <v>582</v>
      </c>
      <c r="C97" s="300" t="s">
        <v>583</v>
      </c>
      <c r="D97" s="301">
        <v>1</v>
      </c>
      <c r="E97" s="10"/>
      <c r="F97" s="302">
        <f t="shared" si="3"/>
        <v>0</v>
      </c>
    </row>
    <row r="98" spans="1:7" s="278" customFormat="1">
      <c r="A98" s="299"/>
      <c r="B98" s="322"/>
      <c r="C98" s="300"/>
      <c r="D98" s="301"/>
      <c r="E98" s="10"/>
      <c r="F98" s="302">
        <f t="shared" si="3"/>
        <v>0</v>
      </c>
      <c r="G98" s="308"/>
    </row>
    <row r="99" spans="1:7" s="278" customFormat="1">
      <c r="A99" s="310">
        <f>IF(B99&gt;0,MAX(A89:A98)+1,"")</f>
        <v>19</v>
      </c>
      <c r="B99" s="321" t="s">
        <v>1473</v>
      </c>
      <c r="C99" s="305"/>
      <c r="D99" s="306"/>
      <c r="E99" s="7"/>
      <c r="F99" s="302">
        <f t="shared" si="3"/>
        <v>0</v>
      </c>
    </row>
    <row r="100" spans="1:7" s="278" customFormat="1" ht="76.5">
      <c r="A100" s="299"/>
      <c r="B100" s="312" t="s">
        <v>1474</v>
      </c>
      <c r="C100" s="300"/>
      <c r="D100" s="301"/>
      <c r="E100" s="10"/>
      <c r="F100" s="302">
        <f t="shared" si="3"/>
        <v>0</v>
      </c>
    </row>
    <row r="101" spans="1:7" s="278" customFormat="1" ht="13.15" customHeight="1">
      <c r="A101" s="299"/>
      <c r="B101" s="322" t="s">
        <v>524</v>
      </c>
      <c r="C101" s="300" t="s">
        <v>66</v>
      </c>
      <c r="D101" s="301">
        <v>0.2</v>
      </c>
      <c r="E101" s="10"/>
      <c r="F101" s="302">
        <f t="shared" si="3"/>
        <v>0</v>
      </c>
    </row>
    <row r="102" spans="1:7">
      <c r="A102" s="303"/>
      <c r="B102" s="309"/>
      <c r="C102" s="305"/>
      <c r="D102" s="306"/>
      <c r="E102" s="7"/>
      <c r="F102" s="302">
        <f t="shared" si="3"/>
        <v>0</v>
      </c>
    </row>
    <row r="103" spans="1:7" s="278" customFormat="1">
      <c r="A103" s="310">
        <f>IF(B103&gt;0,MAX(A93:A102)+1,"")</f>
        <v>20</v>
      </c>
      <c r="B103" s="321" t="s">
        <v>541</v>
      </c>
      <c r="C103" s="305"/>
      <c r="D103" s="306"/>
      <c r="E103" s="7"/>
      <c r="F103" s="302">
        <f t="shared" si="3"/>
        <v>0</v>
      </c>
    </row>
    <row r="104" spans="1:7" s="278" customFormat="1" ht="90">
      <c r="A104" s="299"/>
      <c r="B104" s="304" t="s">
        <v>1498</v>
      </c>
      <c r="C104" s="300"/>
      <c r="D104" s="301"/>
      <c r="E104" s="10"/>
      <c r="F104" s="302">
        <f t="shared" si="3"/>
        <v>0</v>
      </c>
    </row>
    <row r="105" spans="1:7">
      <c r="A105" s="299"/>
      <c r="B105" s="322" t="s">
        <v>525</v>
      </c>
      <c r="C105" s="300" t="s">
        <v>34</v>
      </c>
      <c r="D105" s="301">
        <v>4</v>
      </c>
      <c r="E105" s="10"/>
      <c r="F105" s="302">
        <f t="shared" si="3"/>
        <v>0</v>
      </c>
    </row>
    <row r="106" spans="1:7">
      <c r="A106" s="299"/>
      <c r="B106" s="322" t="s">
        <v>537</v>
      </c>
      <c r="C106" s="300" t="s">
        <v>34</v>
      </c>
      <c r="D106" s="301">
        <v>14</v>
      </c>
      <c r="E106" s="10"/>
      <c r="F106" s="302">
        <f t="shared" si="3"/>
        <v>0</v>
      </c>
    </row>
    <row r="107" spans="1:7" s="278" customFormat="1">
      <c r="A107" s="299"/>
      <c r="B107" s="322" t="s">
        <v>538</v>
      </c>
      <c r="C107" s="300" t="s">
        <v>34</v>
      </c>
      <c r="D107" s="301">
        <v>2</v>
      </c>
      <c r="E107" s="10"/>
      <c r="F107" s="302">
        <f t="shared" si="3"/>
        <v>0</v>
      </c>
    </row>
    <row r="108" spans="1:7" s="278" customFormat="1">
      <c r="A108" s="299"/>
      <c r="B108" s="322" t="s">
        <v>539</v>
      </c>
      <c r="C108" s="300" t="s">
        <v>34</v>
      </c>
      <c r="D108" s="301">
        <v>3</v>
      </c>
      <c r="E108" s="10"/>
      <c r="F108" s="302">
        <f t="shared" si="3"/>
        <v>0</v>
      </c>
    </row>
    <row r="109" spans="1:7" s="278" customFormat="1">
      <c r="A109" s="299"/>
      <c r="B109" s="322" t="s">
        <v>540</v>
      </c>
      <c r="C109" s="300" t="s">
        <v>34</v>
      </c>
      <c r="D109" s="301">
        <v>1</v>
      </c>
      <c r="E109" s="10"/>
      <c r="F109" s="302">
        <f t="shared" si="3"/>
        <v>0</v>
      </c>
    </row>
    <row r="110" spans="1:7" s="278" customFormat="1">
      <c r="A110" s="299"/>
      <c r="B110" s="322" t="s">
        <v>550</v>
      </c>
      <c r="C110" s="300" t="s">
        <v>34</v>
      </c>
      <c r="D110" s="301">
        <v>6</v>
      </c>
      <c r="E110" s="10"/>
      <c r="F110" s="302">
        <f t="shared" si="3"/>
        <v>0</v>
      </c>
    </row>
    <row r="111" spans="1:7" s="278" customFormat="1">
      <c r="A111" s="299"/>
      <c r="B111" s="322" t="s">
        <v>551</v>
      </c>
      <c r="C111" s="300" t="s">
        <v>34</v>
      </c>
      <c r="D111" s="301">
        <v>5</v>
      </c>
      <c r="E111" s="10"/>
      <c r="F111" s="302">
        <f t="shared" si="3"/>
        <v>0</v>
      </c>
    </row>
    <row r="112" spans="1:7" s="278" customFormat="1">
      <c r="A112" s="299"/>
      <c r="B112" s="322" t="s">
        <v>552</v>
      </c>
      <c r="C112" s="300" t="s">
        <v>34</v>
      </c>
      <c r="D112" s="301">
        <v>1</v>
      </c>
      <c r="E112" s="10"/>
      <c r="F112" s="302">
        <f t="shared" si="3"/>
        <v>0</v>
      </c>
    </row>
    <row r="113" spans="1:6" s="278" customFormat="1">
      <c r="A113" s="299"/>
      <c r="B113" s="322" t="s">
        <v>553</v>
      </c>
      <c r="C113" s="300" t="s">
        <v>34</v>
      </c>
      <c r="D113" s="301">
        <v>1</v>
      </c>
      <c r="E113" s="10"/>
      <c r="F113" s="302">
        <f t="shared" si="3"/>
        <v>0</v>
      </c>
    </row>
    <row r="114" spans="1:6" s="278" customFormat="1">
      <c r="A114" s="299"/>
      <c r="B114" s="322" t="s">
        <v>568</v>
      </c>
      <c r="C114" s="300" t="s">
        <v>34</v>
      </c>
      <c r="D114" s="301">
        <v>5</v>
      </c>
      <c r="E114" s="10"/>
      <c r="F114" s="302">
        <f t="shared" si="3"/>
        <v>0</v>
      </c>
    </row>
    <row r="115" spans="1:6" s="278" customFormat="1">
      <c r="A115" s="299"/>
      <c r="B115" s="322" t="s">
        <v>1420</v>
      </c>
      <c r="C115" s="300" t="s">
        <v>34</v>
      </c>
      <c r="D115" s="301">
        <v>6</v>
      </c>
      <c r="E115" s="10"/>
      <c r="F115" s="302">
        <f t="shared" si="3"/>
        <v>0</v>
      </c>
    </row>
    <row r="116" spans="1:6" s="278" customFormat="1">
      <c r="A116" s="299"/>
      <c r="B116" s="285"/>
      <c r="C116" s="300"/>
      <c r="D116" s="301"/>
      <c r="E116" s="10"/>
      <c r="F116" s="302">
        <f t="shared" si="3"/>
        <v>0</v>
      </c>
    </row>
    <row r="117" spans="1:6" s="278" customFormat="1">
      <c r="A117" s="310">
        <f>IF(B117&gt;0,MAX(A102:A116)+1,"")</f>
        <v>21</v>
      </c>
      <c r="B117" s="321" t="s">
        <v>542</v>
      </c>
      <c r="C117" s="305"/>
      <c r="D117" s="306"/>
      <c r="E117" s="7"/>
      <c r="F117" s="302">
        <f t="shared" si="3"/>
        <v>0</v>
      </c>
    </row>
    <row r="118" spans="1:6" s="278" customFormat="1" ht="89.25">
      <c r="A118" s="299"/>
      <c r="B118" s="312" t="s">
        <v>1499</v>
      </c>
      <c r="C118" s="300"/>
      <c r="D118" s="301"/>
      <c r="E118" s="10"/>
      <c r="F118" s="302">
        <f t="shared" si="3"/>
        <v>0</v>
      </c>
    </row>
    <row r="119" spans="1:6" s="278" customFormat="1">
      <c r="A119" s="299"/>
      <c r="B119" s="322" t="s">
        <v>1421</v>
      </c>
      <c r="C119" s="300" t="s">
        <v>34</v>
      </c>
      <c r="D119" s="301">
        <v>5</v>
      </c>
      <c r="E119" s="10"/>
      <c r="F119" s="302">
        <f t="shared" si="3"/>
        <v>0</v>
      </c>
    </row>
    <row r="120" spans="1:6">
      <c r="A120" s="299"/>
      <c r="B120" s="322" t="s">
        <v>549</v>
      </c>
      <c r="C120" s="300" t="s">
        <v>34</v>
      </c>
      <c r="D120" s="301">
        <v>4</v>
      </c>
      <c r="E120" s="10"/>
      <c r="F120" s="302">
        <f t="shared" si="3"/>
        <v>0</v>
      </c>
    </row>
    <row r="121" spans="1:6" s="278" customFormat="1">
      <c r="A121" s="299"/>
      <c r="B121" s="322" t="s">
        <v>554</v>
      </c>
      <c r="C121" s="300" t="s">
        <v>34</v>
      </c>
      <c r="D121" s="301">
        <v>1</v>
      </c>
      <c r="E121" s="10"/>
      <c r="F121" s="302">
        <f t="shared" si="3"/>
        <v>0</v>
      </c>
    </row>
    <row r="122" spans="1:6" s="278" customFormat="1">
      <c r="A122" s="299"/>
      <c r="B122" s="322" t="s">
        <v>1500</v>
      </c>
      <c r="C122" s="300" t="s">
        <v>34</v>
      </c>
      <c r="D122" s="301">
        <v>6</v>
      </c>
      <c r="E122" s="10"/>
      <c r="F122" s="302">
        <f t="shared" si="3"/>
        <v>0</v>
      </c>
    </row>
    <row r="123" spans="1:6" s="278" customFormat="1">
      <c r="A123" s="299"/>
      <c r="B123" s="285"/>
      <c r="C123" s="300"/>
      <c r="D123" s="301"/>
      <c r="E123" s="10"/>
      <c r="F123" s="302">
        <f t="shared" si="3"/>
        <v>0</v>
      </c>
    </row>
    <row r="124" spans="1:6" s="278" customFormat="1">
      <c r="A124" s="310">
        <f>IF(B124&gt;0,MAX(A109:A123)+1,"")</f>
        <v>22</v>
      </c>
      <c r="B124" s="311" t="s">
        <v>526</v>
      </c>
      <c r="C124" s="300"/>
      <c r="D124" s="301"/>
      <c r="E124" s="10"/>
      <c r="F124" s="302">
        <f t="shared" si="3"/>
        <v>0</v>
      </c>
    </row>
    <row r="125" spans="1:6" s="278" customFormat="1" ht="89.25">
      <c r="A125" s="299"/>
      <c r="B125" s="312" t="s">
        <v>532</v>
      </c>
      <c r="C125" s="300"/>
      <c r="D125" s="301"/>
      <c r="E125" s="10"/>
      <c r="F125" s="302">
        <f t="shared" si="3"/>
        <v>0</v>
      </c>
    </row>
    <row r="126" spans="1:6" s="278" customFormat="1">
      <c r="A126" s="299"/>
      <c r="B126" s="312" t="s">
        <v>257</v>
      </c>
      <c r="C126" s="300"/>
      <c r="D126" s="301"/>
      <c r="E126" s="10"/>
      <c r="F126" s="302">
        <f t="shared" si="3"/>
        <v>0</v>
      </c>
    </row>
    <row r="127" spans="1:6" s="278" customFormat="1">
      <c r="A127" s="299"/>
      <c r="B127" s="322" t="s">
        <v>527</v>
      </c>
      <c r="C127" s="300" t="s">
        <v>66</v>
      </c>
      <c r="D127" s="301">
        <v>8.9</v>
      </c>
      <c r="E127" s="10"/>
      <c r="F127" s="302">
        <f t="shared" si="3"/>
        <v>0</v>
      </c>
    </row>
    <row r="128" spans="1:6" s="278" customFormat="1">
      <c r="A128" s="299"/>
      <c r="B128" s="322" t="s">
        <v>565</v>
      </c>
      <c r="C128" s="300" t="s">
        <v>66</v>
      </c>
      <c r="D128" s="301">
        <v>19.899999999999999</v>
      </c>
      <c r="E128" s="10"/>
      <c r="F128" s="302">
        <f t="shared" si="3"/>
        <v>0</v>
      </c>
    </row>
    <row r="129" spans="1:6" s="278" customFormat="1">
      <c r="A129" s="299"/>
      <c r="B129" s="322" t="s">
        <v>566</v>
      </c>
      <c r="C129" s="300" t="s">
        <v>66</v>
      </c>
      <c r="D129" s="301">
        <v>23.2</v>
      </c>
      <c r="E129" s="10"/>
      <c r="F129" s="302">
        <f t="shared" si="3"/>
        <v>0</v>
      </c>
    </row>
    <row r="130" spans="1:6" s="278" customFormat="1">
      <c r="A130" s="303"/>
      <c r="B130" s="309"/>
      <c r="C130" s="305"/>
      <c r="D130" s="306"/>
      <c r="E130" s="7"/>
      <c r="F130" s="302">
        <f t="shared" si="3"/>
        <v>0</v>
      </c>
    </row>
    <row r="131" spans="1:6" s="278" customFormat="1">
      <c r="A131" s="310">
        <f>IF(B131&gt;0,MAX(A116:A130)+1,"")</f>
        <v>23</v>
      </c>
      <c r="B131" s="311" t="s">
        <v>528</v>
      </c>
      <c r="C131" s="300"/>
      <c r="D131" s="301"/>
      <c r="E131" s="10"/>
      <c r="F131" s="302">
        <f t="shared" si="3"/>
        <v>0</v>
      </c>
    </row>
    <row r="132" spans="1:6" s="278" customFormat="1" ht="89.25">
      <c r="A132" s="299"/>
      <c r="B132" s="312" t="s">
        <v>533</v>
      </c>
      <c r="C132" s="300"/>
      <c r="D132" s="301"/>
      <c r="E132" s="10"/>
      <c r="F132" s="302">
        <f t="shared" si="3"/>
        <v>0</v>
      </c>
    </row>
    <row r="133" spans="1:6">
      <c r="A133" s="299"/>
      <c r="B133" s="312" t="s">
        <v>257</v>
      </c>
      <c r="C133" s="300"/>
      <c r="D133" s="301"/>
      <c r="E133" s="10"/>
      <c r="F133" s="302">
        <f t="shared" si="3"/>
        <v>0</v>
      </c>
    </row>
    <row r="134" spans="1:6" s="278" customFormat="1">
      <c r="A134" s="299"/>
      <c r="B134" s="322" t="s">
        <v>527</v>
      </c>
      <c r="C134" s="300" t="s">
        <v>66</v>
      </c>
      <c r="D134" s="301">
        <v>0.7</v>
      </c>
      <c r="E134" s="10"/>
      <c r="F134" s="302">
        <f t="shared" si="3"/>
        <v>0</v>
      </c>
    </row>
    <row r="135" spans="1:6" s="278" customFormat="1">
      <c r="A135" s="303"/>
      <c r="B135" s="309"/>
      <c r="C135" s="305"/>
      <c r="D135" s="306"/>
      <c r="E135" s="7"/>
      <c r="F135" s="302">
        <f t="shared" si="3"/>
        <v>0</v>
      </c>
    </row>
    <row r="136" spans="1:6" s="278" customFormat="1">
      <c r="A136" s="310">
        <f>IF(B136&gt;0,MAX(A121:A135)+1,"")</f>
        <v>24</v>
      </c>
      <c r="B136" s="311" t="s">
        <v>529</v>
      </c>
      <c r="C136" s="300"/>
      <c r="D136" s="301"/>
      <c r="E136" s="10"/>
      <c r="F136" s="302">
        <f t="shared" si="3"/>
        <v>0</v>
      </c>
    </row>
    <row r="137" spans="1:6" s="278" customFormat="1" ht="102">
      <c r="A137" s="299"/>
      <c r="B137" s="312" t="s">
        <v>530</v>
      </c>
      <c r="C137" s="300"/>
      <c r="D137" s="301"/>
      <c r="E137" s="10"/>
      <c r="F137" s="302">
        <f t="shared" si="3"/>
        <v>0</v>
      </c>
    </row>
    <row r="138" spans="1:6">
      <c r="A138" s="299"/>
      <c r="B138" s="312" t="s">
        <v>257</v>
      </c>
      <c r="C138" s="300"/>
      <c r="D138" s="301"/>
      <c r="E138" s="10"/>
      <c r="F138" s="302">
        <f t="shared" si="3"/>
        <v>0</v>
      </c>
    </row>
    <row r="139" spans="1:6" s="278" customFormat="1">
      <c r="A139" s="299"/>
      <c r="B139" s="322" t="s">
        <v>556</v>
      </c>
      <c r="C139" s="300" t="s">
        <v>66</v>
      </c>
      <c r="D139" s="301">
        <f>3.4+0.7</f>
        <v>4.0999999999999996</v>
      </c>
      <c r="E139" s="10"/>
      <c r="F139" s="302">
        <f t="shared" si="3"/>
        <v>0</v>
      </c>
    </row>
    <row r="140" spans="1:6" s="278" customFormat="1">
      <c r="A140" s="299"/>
      <c r="B140" s="322" t="s">
        <v>555</v>
      </c>
      <c r="C140" s="300" t="s">
        <v>66</v>
      </c>
      <c r="D140" s="301">
        <f>0.4+1.6+0.5</f>
        <v>2.5</v>
      </c>
      <c r="E140" s="10"/>
      <c r="F140" s="302">
        <f t="shared" si="3"/>
        <v>0</v>
      </c>
    </row>
    <row r="141" spans="1:6" s="278" customFormat="1">
      <c r="A141" s="299"/>
      <c r="B141" s="322" t="s">
        <v>567</v>
      </c>
      <c r="C141" s="300" t="s">
        <v>66</v>
      </c>
      <c r="D141" s="301">
        <f>1.3+0.3+1.2</f>
        <v>2.8</v>
      </c>
      <c r="E141" s="10"/>
      <c r="F141" s="302">
        <f t="shared" si="3"/>
        <v>0</v>
      </c>
    </row>
    <row r="142" spans="1:6" s="278" customFormat="1">
      <c r="A142" s="299"/>
      <c r="B142" s="285"/>
      <c r="C142" s="300"/>
      <c r="D142" s="301"/>
      <c r="E142" s="10"/>
      <c r="F142" s="302">
        <f t="shared" si="3"/>
        <v>0</v>
      </c>
    </row>
    <row r="143" spans="1:6" s="278" customFormat="1">
      <c r="A143" s="310">
        <f>IF(B143&gt;0,MAX(A128:A142)+1,"")</f>
        <v>25</v>
      </c>
      <c r="B143" s="321" t="s">
        <v>534</v>
      </c>
      <c r="C143" s="300"/>
      <c r="D143" s="301"/>
      <c r="E143" s="10"/>
      <c r="F143" s="302">
        <f t="shared" si="3"/>
        <v>0</v>
      </c>
    </row>
    <row r="144" spans="1:6" s="278" customFormat="1" ht="63.75">
      <c r="A144" s="299"/>
      <c r="B144" s="312" t="s">
        <v>1271</v>
      </c>
      <c r="C144" s="300"/>
      <c r="D144" s="301"/>
      <c r="E144" s="10"/>
      <c r="F144" s="302">
        <f t="shared" si="3"/>
        <v>0</v>
      </c>
    </row>
    <row r="145" spans="1:7" s="278" customFormat="1">
      <c r="A145" s="299"/>
      <c r="B145" s="322" t="s">
        <v>179</v>
      </c>
      <c r="C145" s="300"/>
      <c r="D145" s="301"/>
      <c r="E145" s="10"/>
      <c r="F145" s="302">
        <f t="shared" si="3"/>
        <v>0</v>
      </c>
    </row>
    <row r="146" spans="1:7" s="278" customFormat="1">
      <c r="A146" s="299"/>
      <c r="B146" s="322" t="s">
        <v>535</v>
      </c>
      <c r="C146" s="300" t="s">
        <v>34</v>
      </c>
      <c r="D146" s="301">
        <v>1</v>
      </c>
      <c r="E146" s="10"/>
      <c r="F146" s="302">
        <f t="shared" si="3"/>
        <v>0</v>
      </c>
    </row>
    <row r="147" spans="1:7" s="278" customFormat="1">
      <c r="A147" s="299"/>
      <c r="B147" s="322" t="s">
        <v>536</v>
      </c>
      <c r="C147" s="300" t="s">
        <v>34</v>
      </c>
      <c r="D147" s="301">
        <v>1</v>
      </c>
      <c r="E147" s="10"/>
      <c r="F147" s="302">
        <f t="shared" ref="F147:F212" si="4">E147*D147</f>
        <v>0</v>
      </c>
      <c r="G147" s="308"/>
    </row>
    <row r="148" spans="1:7" s="278" customFormat="1">
      <c r="A148" s="299"/>
      <c r="B148" s="321"/>
      <c r="C148" s="300"/>
      <c r="D148" s="301"/>
      <c r="E148" s="10"/>
      <c r="F148" s="302">
        <f t="shared" si="4"/>
        <v>0</v>
      </c>
    </row>
    <row r="149" spans="1:7" s="278" customFormat="1">
      <c r="A149" s="310">
        <f>IF(B149&gt;0,MAX(A134:A148)+1,"")</f>
        <v>26</v>
      </c>
      <c r="B149" s="321" t="s">
        <v>569</v>
      </c>
      <c r="C149" s="300"/>
      <c r="D149" s="301"/>
      <c r="E149" s="10"/>
      <c r="F149" s="302">
        <f t="shared" si="4"/>
        <v>0</v>
      </c>
    </row>
    <row r="150" spans="1:7" s="278" customFormat="1" ht="51">
      <c r="A150" s="299"/>
      <c r="B150" s="312" t="s">
        <v>1272</v>
      </c>
      <c r="C150" s="300"/>
      <c r="D150" s="301"/>
      <c r="E150" s="10"/>
      <c r="F150" s="302">
        <f t="shared" si="4"/>
        <v>0</v>
      </c>
    </row>
    <row r="151" spans="1:7" s="278" customFormat="1">
      <c r="A151" s="299"/>
      <c r="B151" s="322" t="s">
        <v>561</v>
      </c>
      <c r="C151" s="300" t="s">
        <v>123</v>
      </c>
      <c r="D151" s="301">
        <v>1</v>
      </c>
      <c r="E151" s="10"/>
      <c r="F151" s="302">
        <f t="shared" si="4"/>
        <v>0</v>
      </c>
    </row>
    <row r="152" spans="1:7" s="278" customFormat="1">
      <c r="A152" s="299"/>
      <c r="B152" s="322"/>
      <c r="C152" s="300"/>
      <c r="D152" s="301"/>
      <c r="E152" s="10"/>
      <c r="F152" s="302">
        <f t="shared" si="4"/>
        <v>0</v>
      </c>
    </row>
    <row r="153" spans="1:7" s="278" customFormat="1">
      <c r="A153" s="310">
        <f>IF(B153&gt;0,MAX(A138:A152)+1,"")</f>
        <v>27</v>
      </c>
      <c r="B153" s="1599" t="s">
        <v>575</v>
      </c>
      <c r="C153" s="300"/>
      <c r="D153" s="301"/>
      <c r="E153" s="10"/>
      <c r="F153" s="302">
        <f t="shared" si="4"/>
        <v>0</v>
      </c>
      <c r="G153" s="308"/>
    </row>
    <row r="154" spans="1:7" s="278" customFormat="1" ht="89.25">
      <c r="A154" s="299"/>
      <c r="B154" s="312" t="s">
        <v>1558</v>
      </c>
      <c r="C154" s="300"/>
      <c r="D154" s="301"/>
      <c r="E154" s="10"/>
      <c r="F154" s="302">
        <f t="shared" si="4"/>
        <v>0</v>
      </c>
    </row>
    <row r="155" spans="1:7" s="278" customFormat="1">
      <c r="A155" s="299"/>
      <c r="B155" s="322" t="s">
        <v>571</v>
      </c>
      <c r="C155" s="300"/>
      <c r="D155" s="301"/>
      <c r="E155" s="10"/>
      <c r="F155" s="302">
        <f t="shared" si="4"/>
        <v>0</v>
      </c>
    </row>
    <row r="156" spans="1:7" s="278" customFormat="1">
      <c r="A156" s="299"/>
      <c r="B156" s="322" t="s">
        <v>572</v>
      </c>
      <c r="C156" s="300" t="s">
        <v>27</v>
      </c>
      <c r="D156" s="301">
        <f>16.8+25.2</f>
        <v>42</v>
      </c>
      <c r="E156" s="10"/>
      <c r="F156" s="302">
        <f t="shared" si="4"/>
        <v>0</v>
      </c>
    </row>
    <row r="157" spans="1:7" s="278" customFormat="1">
      <c r="A157" s="299"/>
      <c r="B157" s="322" t="s">
        <v>573</v>
      </c>
      <c r="C157" s="300" t="s">
        <v>27</v>
      </c>
      <c r="D157" s="301">
        <f t="shared" ref="D157:D158" si="5">16.8+25.2</f>
        <v>42</v>
      </c>
      <c r="E157" s="10"/>
      <c r="F157" s="302">
        <f t="shared" si="4"/>
        <v>0</v>
      </c>
    </row>
    <row r="158" spans="1:7" s="278" customFormat="1">
      <c r="A158" s="299"/>
      <c r="B158" s="322" t="s">
        <v>574</v>
      </c>
      <c r="C158" s="300" t="s">
        <v>27</v>
      </c>
      <c r="D158" s="301">
        <f t="shared" si="5"/>
        <v>42</v>
      </c>
      <c r="E158" s="10"/>
      <c r="F158" s="302">
        <f t="shared" si="4"/>
        <v>0</v>
      </c>
    </row>
    <row r="159" spans="1:7" s="278" customFormat="1">
      <c r="A159" s="299"/>
      <c r="B159" s="322"/>
      <c r="C159" s="300"/>
      <c r="D159" s="301"/>
      <c r="E159" s="10"/>
      <c r="F159" s="302">
        <f t="shared" si="4"/>
        <v>0</v>
      </c>
    </row>
    <row r="160" spans="1:7" s="278" customFormat="1">
      <c r="A160" s="310">
        <f>IF(B160&gt;0,MAX(A145:A159)+1,"")</f>
        <v>28</v>
      </c>
      <c r="B160" s="321" t="s">
        <v>576</v>
      </c>
      <c r="C160" s="300"/>
      <c r="D160" s="301"/>
      <c r="E160" s="10"/>
      <c r="F160" s="302">
        <f t="shared" si="4"/>
        <v>0</v>
      </c>
    </row>
    <row r="161" spans="1:7" s="278" customFormat="1" ht="96.75" customHeight="1">
      <c r="A161" s="299"/>
      <c r="B161" s="312" t="s">
        <v>1501</v>
      </c>
      <c r="C161" s="300"/>
      <c r="D161" s="301"/>
      <c r="E161" s="10"/>
      <c r="F161" s="302">
        <f t="shared" si="4"/>
        <v>0</v>
      </c>
    </row>
    <row r="162" spans="1:7" s="278" customFormat="1" ht="38.25">
      <c r="A162" s="299"/>
      <c r="B162" s="312" t="s">
        <v>5502</v>
      </c>
      <c r="C162" s="300"/>
      <c r="D162" s="301"/>
      <c r="E162" s="10"/>
      <c r="F162" s="302"/>
    </row>
    <row r="163" spans="1:7" s="278" customFormat="1" ht="178.5">
      <c r="A163" s="299"/>
      <c r="B163" s="312" t="s">
        <v>2119</v>
      </c>
      <c r="C163" s="300"/>
      <c r="D163" s="301"/>
      <c r="E163" s="10"/>
      <c r="F163" s="302"/>
    </row>
    <row r="164" spans="1:7" s="278" customFormat="1" ht="51">
      <c r="A164" s="299"/>
      <c r="B164" s="312" t="s">
        <v>1939</v>
      </c>
      <c r="C164" s="300"/>
      <c r="D164" s="301"/>
      <c r="E164" s="10"/>
      <c r="F164" s="302">
        <f t="shared" si="4"/>
        <v>0</v>
      </c>
      <c r="G164" s="323"/>
    </row>
    <row r="165" spans="1:7" s="278" customFormat="1" ht="26.25">
      <c r="A165" s="299"/>
      <c r="B165" s="304" t="s">
        <v>1938</v>
      </c>
      <c r="C165" s="300"/>
      <c r="D165" s="301"/>
      <c r="E165" s="10"/>
      <c r="F165" s="302">
        <f t="shared" si="4"/>
        <v>0</v>
      </c>
      <c r="G165" s="324"/>
    </row>
    <row r="166" spans="1:7" s="278" customFormat="1">
      <c r="A166" s="299"/>
      <c r="B166" s="322" t="s">
        <v>1510</v>
      </c>
      <c r="C166" s="300" t="s">
        <v>27</v>
      </c>
      <c r="D166" s="301">
        <f>618</f>
        <v>618</v>
      </c>
      <c r="E166" s="10"/>
      <c r="F166" s="302">
        <f t="shared" si="4"/>
        <v>0</v>
      </c>
      <c r="G166" s="324"/>
    </row>
    <row r="167" spans="1:7" s="278" customFormat="1">
      <c r="A167" s="299"/>
      <c r="B167" s="322" t="s">
        <v>577</v>
      </c>
      <c r="C167" s="300" t="s">
        <v>27</v>
      </c>
      <c r="D167" s="301">
        <v>580</v>
      </c>
      <c r="E167" s="10"/>
      <c r="F167" s="302">
        <f t="shared" si="4"/>
        <v>0</v>
      </c>
    </row>
    <row r="168" spans="1:7" s="278" customFormat="1">
      <c r="A168" s="299"/>
      <c r="B168" s="322" t="s">
        <v>1918</v>
      </c>
      <c r="C168" s="300" t="s">
        <v>34</v>
      </c>
      <c r="D168" s="301">
        <v>14</v>
      </c>
      <c r="E168" s="10"/>
      <c r="F168" s="302">
        <f t="shared" si="4"/>
        <v>0</v>
      </c>
    </row>
    <row r="169" spans="1:7" s="278" customFormat="1">
      <c r="A169" s="299"/>
      <c r="B169" s="322" t="s">
        <v>1920</v>
      </c>
      <c r="C169" s="300" t="s">
        <v>34</v>
      </c>
      <c r="D169" s="301">
        <v>6</v>
      </c>
      <c r="E169" s="10"/>
      <c r="F169" s="302">
        <f t="shared" si="4"/>
        <v>0</v>
      </c>
    </row>
    <row r="170" spans="1:7" s="278" customFormat="1">
      <c r="A170" s="299"/>
      <c r="B170" s="322" t="s">
        <v>1919</v>
      </c>
      <c r="C170" s="300" t="s">
        <v>34</v>
      </c>
      <c r="D170" s="301">
        <v>3</v>
      </c>
      <c r="E170" s="10"/>
      <c r="F170" s="302">
        <f t="shared" si="4"/>
        <v>0</v>
      </c>
    </row>
    <row r="171" spans="1:7" s="278" customFormat="1">
      <c r="A171" s="299"/>
      <c r="B171" s="322"/>
      <c r="C171" s="300"/>
      <c r="D171" s="301"/>
      <c r="E171" s="10"/>
      <c r="F171" s="302">
        <f t="shared" si="4"/>
        <v>0</v>
      </c>
    </row>
    <row r="172" spans="1:7" s="278" customFormat="1">
      <c r="A172" s="310">
        <f>IF(B172&gt;0,MAX(A151:A168)+1,"")</f>
        <v>29</v>
      </c>
      <c r="B172" s="321" t="s">
        <v>587</v>
      </c>
      <c r="C172" s="300"/>
      <c r="D172" s="301"/>
      <c r="E172" s="10"/>
      <c r="F172" s="302">
        <f t="shared" si="4"/>
        <v>0</v>
      </c>
    </row>
    <row r="173" spans="1:7" s="278" customFormat="1" ht="63.75">
      <c r="A173" s="299"/>
      <c r="B173" s="312" t="s">
        <v>1921</v>
      </c>
      <c r="C173" s="300"/>
      <c r="D173" s="301"/>
      <c r="E173" s="10"/>
      <c r="F173" s="302">
        <f t="shared" si="4"/>
        <v>0</v>
      </c>
    </row>
    <row r="174" spans="1:7" s="278" customFormat="1">
      <c r="A174" s="299"/>
      <c r="B174" s="322" t="s">
        <v>28</v>
      </c>
      <c r="C174" s="300" t="s">
        <v>27</v>
      </c>
      <c r="D174" s="301">
        <v>38</v>
      </c>
      <c r="E174" s="10"/>
      <c r="F174" s="302">
        <f t="shared" si="4"/>
        <v>0</v>
      </c>
    </row>
    <row r="175" spans="1:7" s="278" customFormat="1">
      <c r="A175" s="299"/>
      <c r="B175" s="322"/>
      <c r="C175" s="300"/>
      <c r="D175" s="301"/>
      <c r="E175" s="10"/>
      <c r="F175" s="302">
        <f t="shared" si="4"/>
        <v>0</v>
      </c>
    </row>
    <row r="176" spans="1:7" s="278" customFormat="1">
      <c r="A176" s="310">
        <f>IF(B176&gt;0,MAX(A155:A175)+1,"")</f>
        <v>30</v>
      </c>
      <c r="B176" s="321" t="s">
        <v>1922</v>
      </c>
      <c r="C176" s="300"/>
      <c r="D176" s="301"/>
      <c r="E176" s="10"/>
      <c r="F176" s="302">
        <f t="shared" si="4"/>
        <v>0</v>
      </c>
    </row>
    <row r="177" spans="1:7" s="278" customFormat="1" ht="72.75" customHeight="1">
      <c r="A177" s="299"/>
      <c r="B177" s="312" t="s">
        <v>1923</v>
      </c>
      <c r="C177" s="300"/>
      <c r="D177" s="301"/>
      <c r="E177" s="10"/>
      <c r="F177" s="302">
        <f t="shared" si="4"/>
        <v>0</v>
      </c>
    </row>
    <row r="178" spans="1:7" s="278" customFormat="1">
      <c r="A178" s="299"/>
      <c r="B178" s="322" t="s">
        <v>571</v>
      </c>
      <c r="C178" s="300"/>
      <c r="D178" s="301"/>
      <c r="E178" s="10"/>
      <c r="F178" s="302">
        <f t="shared" si="4"/>
        <v>0</v>
      </c>
    </row>
    <row r="179" spans="1:7" s="278" customFormat="1">
      <c r="A179" s="299"/>
      <c r="B179" s="322" t="s">
        <v>578</v>
      </c>
      <c r="C179" s="300" t="s">
        <v>27</v>
      </c>
      <c r="D179" s="301">
        <v>32.299999999999997</v>
      </c>
      <c r="E179" s="10"/>
      <c r="F179" s="302">
        <f t="shared" si="4"/>
        <v>0</v>
      </c>
      <c r="G179" s="308"/>
    </row>
    <row r="180" spans="1:7" s="278" customFormat="1">
      <c r="A180" s="299"/>
      <c r="B180" s="322"/>
      <c r="C180" s="300"/>
      <c r="D180" s="301"/>
      <c r="E180" s="10"/>
      <c r="F180" s="302">
        <f t="shared" si="4"/>
        <v>0</v>
      </c>
    </row>
    <row r="181" spans="1:7" s="278" customFormat="1">
      <c r="A181" s="310">
        <f>IF(B181&gt;0,MAX(A160:A180)+1,"")</f>
        <v>31</v>
      </c>
      <c r="B181" s="321" t="s">
        <v>579</v>
      </c>
      <c r="C181" s="300"/>
      <c r="D181" s="301"/>
      <c r="E181" s="10"/>
      <c r="F181" s="302">
        <f t="shared" si="4"/>
        <v>0</v>
      </c>
    </row>
    <row r="182" spans="1:7" s="278" customFormat="1" ht="101.25" customHeight="1">
      <c r="A182" s="299"/>
      <c r="B182" s="312" t="s">
        <v>1502</v>
      </c>
      <c r="C182" s="300"/>
      <c r="D182" s="301"/>
      <c r="E182" s="10"/>
      <c r="F182" s="302">
        <f t="shared" si="4"/>
        <v>0</v>
      </c>
    </row>
    <row r="183" spans="1:7" s="278" customFormat="1">
      <c r="A183" s="299"/>
      <c r="B183" s="322" t="s">
        <v>28</v>
      </c>
      <c r="C183" s="300"/>
      <c r="D183" s="301"/>
      <c r="E183" s="10"/>
      <c r="F183" s="302">
        <f t="shared" si="4"/>
        <v>0</v>
      </c>
    </row>
    <row r="184" spans="1:7" s="278" customFormat="1">
      <c r="A184" s="299"/>
      <c r="B184" s="322" t="s">
        <v>572</v>
      </c>
      <c r="C184" s="300" t="s">
        <v>27</v>
      </c>
      <c r="D184" s="301">
        <f>16.4+15.3+24.5</f>
        <v>56.2</v>
      </c>
      <c r="E184" s="10"/>
      <c r="F184" s="302">
        <f t="shared" si="4"/>
        <v>0</v>
      </c>
    </row>
    <row r="185" spans="1:7" s="278" customFormat="1">
      <c r="A185" s="299"/>
      <c r="B185" s="322" t="s">
        <v>577</v>
      </c>
      <c r="C185" s="300" t="s">
        <v>27</v>
      </c>
      <c r="D185" s="301">
        <f>16.4+15.3+28.3</f>
        <v>60</v>
      </c>
      <c r="E185" s="10"/>
      <c r="F185" s="302">
        <f t="shared" si="4"/>
        <v>0</v>
      </c>
    </row>
    <row r="186" spans="1:7" s="278" customFormat="1">
      <c r="A186" s="299"/>
      <c r="B186" s="322"/>
      <c r="C186" s="300"/>
      <c r="D186" s="301"/>
      <c r="E186" s="10"/>
      <c r="F186" s="302">
        <f t="shared" si="4"/>
        <v>0</v>
      </c>
    </row>
    <row r="187" spans="1:7" s="278" customFormat="1">
      <c r="A187" s="310">
        <f>IF(B187&gt;0,MAX(A172:A186)+1,"")</f>
        <v>32</v>
      </c>
      <c r="B187" s="321" t="s">
        <v>585</v>
      </c>
      <c r="C187" s="300"/>
      <c r="D187" s="301"/>
      <c r="E187" s="10"/>
      <c r="F187" s="302">
        <f t="shared" si="4"/>
        <v>0</v>
      </c>
    </row>
    <row r="188" spans="1:7" s="278" customFormat="1" ht="63.75">
      <c r="A188" s="299"/>
      <c r="B188" s="312" t="s">
        <v>586</v>
      </c>
      <c r="C188" s="300"/>
      <c r="D188" s="301"/>
      <c r="E188" s="10"/>
      <c r="F188" s="302">
        <f t="shared" si="4"/>
        <v>0</v>
      </c>
    </row>
    <row r="189" spans="1:7" s="278" customFormat="1">
      <c r="A189" s="299"/>
      <c r="B189" s="322" t="s">
        <v>257</v>
      </c>
      <c r="C189" s="300" t="s">
        <v>66</v>
      </c>
      <c r="D189" s="301">
        <v>7.7</v>
      </c>
      <c r="E189" s="10"/>
      <c r="F189" s="302">
        <f t="shared" si="4"/>
        <v>0</v>
      </c>
    </row>
    <row r="190" spans="1:7" s="278" customFormat="1">
      <c r="A190" s="299"/>
      <c r="B190" s="322"/>
      <c r="C190" s="300"/>
      <c r="D190" s="301"/>
      <c r="E190" s="10"/>
      <c r="F190" s="302">
        <f t="shared" si="4"/>
        <v>0</v>
      </c>
      <c r="G190" s="324"/>
    </row>
    <row r="191" spans="1:7" s="278" customFormat="1">
      <c r="A191" s="310">
        <f>IF(B191&gt;0,MAX(A176:A190)+1,"")</f>
        <v>33</v>
      </c>
      <c r="B191" s="321" t="s">
        <v>588</v>
      </c>
      <c r="C191" s="300"/>
      <c r="D191" s="301"/>
      <c r="E191" s="10"/>
      <c r="F191" s="302">
        <f t="shared" si="4"/>
        <v>0</v>
      </c>
    </row>
    <row r="192" spans="1:7" s="278" customFormat="1" ht="76.5">
      <c r="A192" s="299"/>
      <c r="B192" s="312" t="s">
        <v>1503</v>
      </c>
      <c r="C192" s="300"/>
      <c r="D192" s="301"/>
      <c r="E192" s="10"/>
      <c r="F192" s="302">
        <f t="shared" si="4"/>
        <v>0</v>
      </c>
    </row>
    <row r="193" spans="1:6" s="278" customFormat="1">
      <c r="A193" s="299"/>
      <c r="B193" s="322" t="s">
        <v>28</v>
      </c>
      <c r="C193" s="300" t="s">
        <v>27</v>
      </c>
      <c r="D193" s="301">
        <v>249.2</v>
      </c>
      <c r="E193" s="10"/>
      <c r="F193" s="302">
        <f t="shared" si="4"/>
        <v>0</v>
      </c>
    </row>
    <row r="194" spans="1:6" s="278" customFormat="1">
      <c r="A194" s="299"/>
      <c r="B194" s="322"/>
      <c r="C194" s="300"/>
      <c r="D194" s="301"/>
      <c r="E194" s="10"/>
      <c r="F194" s="302">
        <f t="shared" si="4"/>
        <v>0</v>
      </c>
    </row>
    <row r="195" spans="1:6" s="278" customFormat="1">
      <c r="A195" s="310">
        <f>IF(B195&gt;0,MAX(A180:A194)+1,"")</f>
        <v>34</v>
      </c>
      <c r="B195" s="321" t="s">
        <v>589</v>
      </c>
      <c r="C195" s="300"/>
      <c r="D195" s="301"/>
      <c r="E195" s="10"/>
      <c r="F195" s="302">
        <f t="shared" si="4"/>
        <v>0</v>
      </c>
    </row>
    <row r="196" spans="1:6" s="278" customFormat="1" ht="51.75">
      <c r="A196" s="310"/>
      <c r="B196" s="304" t="s">
        <v>1504</v>
      </c>
      <c r="C196" s="300"/>
      <c r="D196" s="301"/>
      <c r="E196" s="10"/>
      <c r="F196" s="302">
        <f t="shared" si="4"/>
        <v>0</v>
      </c>
    </row>
    <row r="197" spans="1:6" s="278" customFormat="1">
      <c r="A197" s="299"/>
      <c r="B197" s="322" t="s">
        <v>28</v>
      </c>
      <c r="C197" s="300" t="s">
        <v>27</v>
      </c>
      <c r="D197" s="301">
        <f>8.1+21.2</f>
        <v>29.3</v>
      </c>
      <c r="E197" s="10"/>
      <c r="F197" s="302">
        <f t="shared" si="4"/>
        <v>0</v>
      </c>
    </row>
    <row r="198" spans="1:6" s="278" customFormat="1">
      <c r="A198" s="299"/>
      <c r="B198" s="322"/>
      <c r="C198" s="300"/>
      <c r="D198" s="301"/>
      <c r="E198" s="10"/>
      <c r="F198" s="302">
        <f t="shared" si="4"/>
        <v>0</v>
      </c>
    </row>
    <row r="199" spans="1:6" s="278" customFormat="1">
      <c r="A199" s="310">
        <f>IF(B199&gt;0,MAX(A184:A198)+1,"")</f>
        <v>35</v>
      </c>
      <c r="B199" s="321" t="s">
        <v>594</v>
      </c>
      <c r="C199" s="300"/>
      <c r="D199" s="301"/>
      <c r="E199" s="10"/>
      <c r="F199" s="302">
        <f t="shared" si="4"/>
        <v>0</v>
      </c>
    </row>
    <row r="200" spans="1:6" s="278" customFormat="1" ht="64.5">
      <c r="A200" s="299"/>
      <c r="B200" s="304" t="s">
        <v>1505</v>
      </c>
      <c r="C200" s="300"/>
      <c r="D200" s="301"/>
      <c r="E200" s="10"/>
      <c r="F200" s="302">
        <f t="shared" si="4"/>
        <v>0</v>
      </c>
    </row>
    <row r="201" spans="1:6" s="278" customFormat="1">
      <c r="A201" s="299"/>
      <c r="B201" s="322" t="s">
        <v>28</v>
      </c>
      <c r="C201" s="300" t="s">
        <v>27</v>
      </c>
      <c r="D201" s="301">
        <v>42.2</v>
      </c>
      <c r="E201" s="10"/>
      <c r="F201" s="302">
        <f t="shared" si="4"/>
        <v>0</v>
      </c>
    </row>
    <row r="202" spans="1:6" s="278" customFormat="1">
      <c r="A202" s="299"/>
      <c r="B202" s="322"/>
      <c r="C202" s="300"/>
      <c r="D202" s="301"/>
      <c r="E202" s="10"/>
      <c r="F202" s="302">
        <f t="shared" si="4"/>
        <v>0</v>
      </c>
    </row>
    <row r="203" spans="1:6" s="278" customFormat="1">
      <c r="A203" s="310">
        <f>IF(B203&gt;0,MAX(A188:A202)+1,"")</f>
        <v>36</v>
      </c>
      <c r="B203" s="321" t="s">
        <v>595</v>
      </c>
      <c r="C203" s="300"/>
      <c r="D203" s="301"/>
      <c r="E203" s="10"/>
      <c r="F203" s="302">
        <f t="shared" si="4"/>
        <v>0</v>
      </c>
    </row>
    <row r="204" spans="1:6" s="278" customFormat="1" ht="64.5">
      <c r="A204" s="299"/>
      <c r="B204" s="304" t="s">
        <v>1924</v>
      </c>
      <c r="C204" s="300"/>
      <c r="D204" s="301"/>
      <c r="E204" s="10"/>
      <c r="F204" s="302">
        <f t="shared" si="4"/>
        <v>0</v>
      </c>
    </row>
    <row r="205" spans="1:6" s="278" customFormat="1" ht="39">
      <c r="A205" s="299"/>
      <c r="B205" s="304" t="s">
        <v>1419</v>
      </c>
      <c r="C205" s="300"/>
      <c r="D205" s="301"/>
      <c r="E205" s="10"/>
      <c r="F205" s="302">
        <f t="shared" si="4"/>
        <v>0</v>
      </c>
    </row>
    <row r="206" spans="1:6" s="278" customFormat="1">
      <c r="A206" s="299"/>
      <c r="B206" s="322" t="s">
        <v>463</v>
      </c>
      <c r="C206" s="300" t="s">
        <v>27</v>
      </c>
      <c r="D206" s="301">
        <f>620.8+1039.2+1067.8+1357.3+168.8</f>
        <v>4253.8999999999996</v>
      </c>
      <c r="E206" s="10"/>
      <c r="F206" s="302">
        <f t="shared" si="4"/>
        <v>0</v>
      </c>
    </row>
    <row r="207" spans="1:6" s="278" customFormat="1">
      <c r="A207" s="299"/>
      <c r="B207" s="322"/>
      <c r="C207" s="300"/>
      <c r="D207" s="301"/>
      <c r="E207" s="10"/>
      <c r="F207" s="302">
        <f t="shared" si="4"/>
        <v>0</v>
      </c>
    </row>
    <row r="208" spans="1:6" s="278" customFormat="1">
      <c r="A208" s="310">
        <f>IF(B208&gt;0,MAX(A193:A207)+1,"")</f>
        <v>37</v>
      </c>
      <c r="B208" s="321" t="s">
        <v>1925</v>
      </c>
      <c r="C208" s="300"/>
      <c r="D208" s="301"/>
      <c r="E208" s="10"/>
      <c r="F208" s="302">
        <f t="shared" si="4"/>
        <v>0</v>
      </c>
    </row>
    <row r="209" spans="1:7" s="278" customFormat="1" ht="38.25">
      <c r="A209" s="299"/>
      <c r="B209" s="312" t="s">
        <v>1926</v>
      </c>
      <c r="C209" s="300"/>
      <c r="D209" s="301"/>
      <c r="E209" s="10"/>
      <c r="F209" s="302">
        <f t="shared" si="4"/>
        <v>0</v>
      </c>
    </row>
    <row r="210" spans="1:7" s="278" customFormat="1" ht="39">
      <c r="A210" s="299"/>
      <c r="B210" s="304" t="s">
        <v>1419</v>
      </c>
      <c r="C210" s="300"/>
      <c r="D210" s="301"/>
      <c r="E210" s="10"/>
      <c r="F210" s="302">
        <f t="shared" si="4"/>
        <v>0</v>
      </c>
    </row>
    <row r="211" spans="1:7" s="278" customFormat="1">
      <c r="A211" s="299"/>
      <c r="B211" s="322" t="s">
        <v>463</v>
      </c>
      <c r="C211" s="300" t="s">
        <v>27</v>
      </c>
      <c r="D211" s="301">
        <v>50</v>
      </c>
      <c r="E211" s="10"/>
      <c r="F211" s="302">
        <f t="shared" si="4"/>
        <v>0</v>
      </c>
    </row>
    <row r="212" spans="1:7" s="278" customFormat="1">
      <c r="A212" s="299"/>
      <c r="B212" s="322"/>
      <c r="C212" s="300"/>
      <c r="D212" s="301"/>
      <c r="E212" s="10"/>
      <c r="F212" s="302">
        <f t="shared" si="4"/>
        <v>0</v>
      </c>
    </row>
    <row r="213" spans="1:7" s="278" customFormat="1">
      <c r="A213" s="310">
        <f>IF(B213&gt;0,MAX(A193:A211)+1,"")</f>
        <v>38</v>
      </c>
      <c r="B213" s="321" t="s">
        <v>1274</v>
      </c>
      <c r="C213" s="300"/>
      <c r="D213" s="301"/>
      <c r="E213" s="10"/>
      <c r="F213" s="302">
        <f t="shared" ref="F213:F278" si="6">E213*D213</f>
        <v>0</v>
      </c>
    </row>
    <row r="214" spans="1:7" s="278" customFormat="1" ht="114.75">
      <c r="A214" s="299"/>
      <c r="B214" s="312" t="s">
        <v>2011</v>
      </c>
      <c r="C214" s="300"/>
      <c r="D214" s="301"/>
      <c r="E214" s="10"/>
      <c r="F214" s="302">
        <f t="shared" si="6"/>
        <v>0</v>
      </c>
    </row>
    <row r="215" spans="1:7" s="278" customFormat="1">
      <c r="A215" s="299"/>
      <c r="B215" s="322" t="s">
        <v>242</v>
      </c>
      <c r="C215" s="300" t="s">
        <v>26</v>
      </c>
      <c r="D215" s="301">
        <v>1138</v>
      </c>
      <c r="E215" s="10"/>
      <c r="F215" s="302">
        <f t="shared" si="6"/>
        <v>0</v>
      </c>
    </row>
    <row r="216" spans="1:7" s="278" customFormat="1">
      <c r="A216" s="299"/>
      <c r="B216" s="322"/>
      <c r="C216" s="300"/>
      <c r="D216" s="301"/>
      <c r="E216" s="10"/>
      <c r="F216" s="302">
        <f t="shared" si="6"/>
        <v>0</v>
      </c>
    </row>
    <row r="217" spans="1:7" s="278" customFormat="1">
      <c r="A217" s="310">
        <f>IF(B217&gt;0,MAX(A197:A216)+1,"")</f>
        <v>39</v>
      </c>
      <c r="B217" s="321" t="s">
        <v>1273</v>
      </c>
      <c r="C217" s="300"/>
      <c r="D217" s="301"/>
      <c r="E217" s="10"/>
      <c r="F217" s="302">
        <f t="shared" si="6"/>
        <v>0</v>
      </c>
    </row>
    <row r="218" spans="1:7" s="278" customFormat="1" ht="89.25">
      <c r="A218" s="299"/>
      <c r="B218" s="312" t="s">
        <v>2012</v>
      </c>
      <c r="C218" s="300"/>
      <c r="D218" s="301"/>
      <c r="E218" s="10"/>
      <c r="F218" s="302">
        <f t="shared" si="6"/>
        <v>0</v>
      </c>
    </row>
    <row r="219" spans="1:7" s="278" customFormat="1">
      <c r="A219" s="299"/>
      <c r="B219" s="322" t="s">
        <v>242</v>
      </c>
      <c r="C219" s="300" t="s">
        <v>26</v>
      </c>
      <c r="D219" s="301">
        <v>570.70000000000005</v>
      </c>
      <c r="E219" s="10"/>
      <c r="F219" s="302">
        <f t="shared" si="6"/>
        <v>0</v>
      </c>
    </row>
    <row r="220" spans="1:7" s="278" customFormat="1">
      <c r="A220" s="299"/>
      <c r="B220" s="322"/>
      <c r="C220" s="300"/>
      <c r="D220" s="301"/>
      <c r="E220" s="10"/>
      <c r="F220" s="302">
        <f t="shared" si="6"/>
        <v>0</v>
      </c>
    </row>
    <row r="221" spans="1:7" s="278" customFormat="1">
      <c r="A221" s="310">
        <f>IF(B221&gt;0,MAX(A201:A220)+1,"")</f>
        <v>40</v>
      </c>
      <c r="B221" s="321" t="s">
        <v>1444</v>
      </c>
      <c r="C221" s="300"/>
      <c r="D221" s="301"/>
      <c r="E221" s="10"/>
      <c r="F221" s="302">
        <f t="shared" si="6"/>
        <v>0</v>
      </c>
      <c r="G221" s="324"/>
    </row>
    <row r="222" spans="1:7" s="278" customFormat="1" ht="39">
      <c r="A222" s="299"/>
      <c r="B222" s="304" t="s">
        <v>1445</v>
      </c>
      <c r="C222" s="300"/>
      <c r="D222" s="301"/>
      <c r="E222" s="10"/>
      <c r="F222" s="302">
        <f t="shared" si="6"/>
        <v>0</v>
      </c>
      <c r="G222" s="324"/>
    </row>
    <row r="223" spans="1:7" s="278" customFormat="1" ht="26.25">
      <c r="A223" s="299"/>
      <c r="B223" s="304" t="s">
        <v>1506</v>
      </c>
      <c r="C223" s="300"/>
      <c r="D223" s="301"/>
      <c r="E223" s="10"/>
      <c r="F223" s="302">
        <f t="shared" si="6"/>
        <v>0</v>
      </c>
    </row>
    <row r="224" spans="1:7" s="278" customFormat="1">
      <c r="A224" s="299"/>
      <c r="B224" s="322" t="s">
        <v>463</v>
      </c>
      <c r="C224" s="300" t="s">
        <v>27</v>
      </c>
      <c r="D224" s="301">
        <f>3.1+6.2</f>
        <v>9.3000000000000007</v>
      </c>
      <c r="E224" s="10"/>
      <c r="F224" s="302">
        <f t="shared" si="6"/>
        <v>0</v>
      </c>
    </row>
    <row r="225" spans="1:7" s="278" customFormat="1">
      <c r="A225" s="299"/>
      <c r="B225" s="322"/>
      <c r="C225" s="300"/>
      <c r="D225" s="301"/>
      <c r="E225" s="10"/>
      <c r="F225" s="302">
        <f t="shared" si="6"/>
        <v>0</v>
      </c>
    </row>
    <row r="226" spans="1:7" s="278" customFormat="1">
      <c r="A226" s="310">
        <f>IF(B226&gt;0,MAX(A206:A225)+1,"")</f>
        <v>41</v>
      </c>
      <c r="B226" s="321" t="s">
        <v>1446</v>
      </c>
      <c r="C226" s="300"/>
      <c r="D226" s="301"/>
      <c r="E226" s="10"/>
      <c r="F226" s="302">
        <f t="shared" si="6"/>
        <v>0</v>
      </c>
    </row>
    <row r="227" spans="1:7" s="278" customFormat="1" ht="26.25">
      <c r="A227" s="299"/>
      <c r="B227" s="304" t="s">
        <v>1447</v>
      </c>
      <c r="C227" s="300"/>
      <c r="D227" s="301"/>
      <c r="E227" s="10"/>
      <c r="F227" s="302">
        <f t="shared" si="6"/>
        <v>0</v>
      </c>
    </row>
    <row r="228" spans="1:7" s="278" customFormat="1" ht="26.25">
      <c r="A228" s="299"/>
      <c r="B228" s="304" t="s">
        <v>1506</v>
      </c>
      <c r="C228" s="300"/>
      <c r="D228" s="301"/>
      <c r="E228" s="10"/>
      <c r="F228" s="302">
        <f t="shared" si="6"/>
        <v>0</v>
      </c>
    </row>
    <row r="229" spans="1:7" s="278" customFormat="1">
      <c r="A229" s="299"/>
      <c r="B229" s="322" t="s">
        <v>179</v>
      </c>
      <c r="C229" s="300" t="s">
        <v>34</v>
      </c>
      <c r="D229" s="301">
        <v>1</v>
      </c>
      <c r="E229" s="10"/>
      <c r="F229" s="302">
        <f t="shared" si="6"/>
        <v>0</v>
      </c>
    </row>
    <row r="230" spans="1:7" s="278" customFormat="1">
      <c r="A230" s="299"/>
      <c r="B230" s="322"/>
      <c r="C230" s="300"/>
      <c r="D230" s="301"/>
      <c r="E230" s="10"/>
      <c r="F230" s="302">
        <f t="shared" si="6"/>
        <v>0</v>
      </c>
    </row>
    <row r="231" spans="1:7" s="278" customFormat="1">
      <c r="A231" s="310">
        <f>IF(B231&gt;0,MAX(A216:A230)+1,"")</f>
        <v>42</v>
      </c>
      <c r="B231" s="321" t="s">
        <v>1479</v>
      </c>
      <c r="C231" s="300"/>
      <c r="D231" s="301"/>
      <c r="E231" s="10"/>
      <c r="F231" s="302">
        <f t="shared" si="6"/>
        <v>0</v>
      </c>
    </row>
    <row r="232" spans="1:7" s="278" customFormat="1" ht="114.75">
      <c r="A232" s="326"/>
      <c r="B232" s="312" t="s">
        <v>1513</v>
      </c>
      <c r="C232" s="327"/>
      <c r="D232" s="318"/>
      <c r="E232" s="45"/>
      <c r="F232" s="302">
        <f t="shared" si="6"/>
        <v>0</v>
      </c>
    </row>
    <row r="233" spans="1:7" s="278" customFormat="1" ht="26.25">
      <c r="A233" s="328"/>
      <c r="B233" s="304" t="s">
        <v>1480</v>
      </c>
      <c r="C233" s="327"/>
      <c r="D233" s="318"/>
      <c r="E233" s="45"/>
      <c r="F233" s="302">
        <f t="shared" si="6"/>
        <v>0</v>
      </c>
    </row>
    <row r="234" spans="1:7" s="278" customFormat="1">
      <c r="A234" s="328"/>
      <c r="B234" s="304" t="s">
        <v>524</v>
      </c>
      <c r="C234" s="300" t="s">
        <v>66</v>
      </c>
      <c r="D234" s="301">
        <v>10</v>
      </c>
      <c r="E234" s="45"/>
      <c r="F234" s="302">
        <f t="shared" si="6"/>
        <v>0</v>
      </c>
      <c r="G234" s="325"/>
    </row>
    <row r="235" spans="1:7" s="325" customFormat="1">
      <c r="A235" s="328"/>
      <c r="B235" s="304"/>
      <c r="C235" s="300"/>
      <c r="D235" s="301"/>
      <c r="E235" s="45"/>
      <c r="F235" s="302">
        <f t="shared" si="6"/>
        <v>0</v>
      </c>
    </row>
    <row r="236" spans="1:7" s="325" customFormat="1">
      <c r="A236" s="310">
        <f>IF(B236&gt;0,MAX(A221:A235)+1,"")</f>
        <v>43</v>
      </c>
      <c r="B236" s="321" t="s">
        <v>1481</v>
      </c>
      <c r="C236" s="329"/>
      <c r="D236" s="318"/>
      <c r="E236" s="45"/>
      <c r="F236" s="302">
        <f t="shared" si="6"/>
        <v>0</v>
      </c>
    </row>
    <row r="237" spans="1:7" s="325" customFormat="1" ht="140.25">
      <c r="A237" s="326"/>
      <c r="B237" s="330" t="s">
        <v>1512</v>
      </c>
      <c r="C237" s="327"/>
      <c r="D237" s="318"/>
      <c r="E237" s="45"/>
      <c r="F237" s="302">
        <f t="shared" si="6"/>
        <v>0</v>
      </c>
    </row>
    <row r="238" spans="1:7" s="325" customFormat="1">
      <c r="A238" s="328"/>
      <c r="B238" s="331" t="s">
        <v>524</v>
      </c>
      <c r="C238" s="329" t="s">
        <v>66</v>
      </c>
      <c r="D238" s="318">
        <v>1</v>
      </c>
      <c r="E238" s="45"/>
      <c r="F238" s="302">
        <f t="shared" si="6"/>
        <v>0</v>
      </c>
    </row>
    <row r="239" spans="1:7" s="325" customFormat="1">
      <c r="A239" s="328"/>
      <c r="B239" s="332"/>
      <c r="C239" s="329"/>
      <c r="D239" s="318"/>
      <c r="E239" s="45"/>
      <c r="F239" s="302">
        <f t="shared" si="6"/>
        <v>0</v>
      </c>
    </row>
    <row r="240" spans="1:7" s="325" customFormat="1">
      <c r="A240" s="310">
        <f>IF(B240&gt;0,MAX(A225:A239)+1,"")</f>
        <v>44</v>
      </c>
      <c r="B240" s="321" t="s">
        <v>1482</v>
      </c>
      <c r="C240" s="329"/>
      <c r="D240" s="318"/>
      <c r="E240" s="45"/>
      <c r="F240" s="302">
        <f t="shared" si="6"/>
        <v>0</v>
      </c>
    </row>
    <row r="241" spans="1:8" s="325" customFormat="1" ht="114.75">
      <c r="A241" s="326"/>
      <c r="B241" s="330" t="s">
        <v>1514</v>
      </c>
      <c r="C241" s="329"/>
      <c r="D241" s="318"/>
      <c r="E241" s="45"/>
      <c r="F241" s="302">
        <f t="shared" si="6"/>
        <v>0</v>
      </c>
    </row>
    <row r="242" spans="1:8" s="325" customFormat="1">
      <c r="A242" s="326"/>
      <c r="B242" s="331" t="s">
        <v>524</v>
      </c>
      <c r="C242" s="329" t="s">
        <v>66</v>
      </c>
      <c r="D242" s="318">
        <v>25</v>
      </c>
      <c r="E242" s="45"/>
      <c r="F242" s="302">
        <f t="shared" si="6"/>
        <v>0</v>
      </c>
    </row>
    <row r="243" spans="1:8" s="325" customFormat="1">
      <c r="A243" s="326"/>
      <c r="B243" s="333"/>
      <c r="C243" s="329"/>
      <c r="D243" s="318"/>
      <c r="E243" s="45"/>
      <c r="F243" s="302">
        <f t="shared" si="6"/>
        <v>0</v>
      </c>
    </row>
    <row r="244" spans="1:8" s="325" customFormat="1">
      <c r="A244" s="310">
        <f>IF(B244&gt;0,MAX(A229:A243)+1,"")</f>
        <v>45</v>
      </c>
      <c r="B244" s="321" t="s">
        <v>1483</v>
      </c>
      <c r="C244" s="329"/>
      <c r="D244" s="318"/>
      <c r="E244" s="45"/>
      <c r="F244" s="302">
        <f t="shared" si="6"/>
        <v>0</v>
      </c>
    </row>
    <row r="245" spans="1:8" s="325" customFormat="1" ht="89.25">
      <c r="A245" s="326"/>
      <c r="B245" s="330" t="s">
        <v>1515</v>
      </c>
      <c r="C245" s="327"/>
      <c r="D245" s="318"/>
      <c r="E245" s="45"/>
      <c r="F245" s="302">
        <f t="shared" si="6"/>
        <v>0</v>
      </c>
    </row>
    <row r="246" spans="1:8" s="325" customFormat="1" ht="26.25">
      <c r="A246" s="326"/>
      <c r="B246" s="304" t="s">
        <v>1480</v>
      </c>
      <c r="C246" s="327"/>
      <c r="D246" s="318"/>
      <c r="E246" s="45"/>
      <c r="F246" s="302">
        <f t="shared" si="6"/>
        <v>0</v>
      </c>
    </row>
    <row r="247" spans="1:8" s="325" customFormat="1">
      <c r="A247" s="326"/>
      <c r="B247" s="331" t="s">
        <v>524</v>
      </c>
      <c r="C247" s="329" t="s">
        <v>66</v>
      </c>
      <c r="D247" s="318">
        <v>2.5</v>
      </c>
      <c r="E247" s="45"/>
      <c r="F247" s="302">
        <f t="shared" si="6"/>
        <v>0</v>
      </c>
    </row>
    <row r="248" spans="1:8" s="325" customFormat="1">
      <c r="A248" s="326"/>
      <c r="B248" s="332"/>
      <c r="C248" s="329"/>
      <c r="D248" s="318"/>
      <c r="E248" s="45"/>
      <c r="F248" s="302">
        <f t="shared" si="6"/>
        <v>0</v>
      </c>
      <c r="H248" s="334"/>
    </row>
    <row r="249" spans="1:8" s="325" customFormat="1">
      <c r="A249" s="310">
        <f>IF(B249&gt;0,MAX(A234:A248)+1,"")</f>
        <v>46</v>
      </c>
      <c r="B249" s="321" t="s">
        <v>1484</v>
      </c>
      <c r="C249" s="329"/>
      <c r="D249" s="318"/>
      <c r="E249" s="45"/>
      <c r="F249" s="302">
        <f t="shared" si="6"/>
        <v>0</v>
      </c>
      <c r="H249" s="334"/>
    </row>
    <row r="250" spans="1:8" s="325" customFormat="1" ht="127.5">
      <c r="A250" s="326"/>
      <c r="B250" s="335" t="s">
        <v>1516</v>
      </c>
      <c r="C250" s="329"/>
      <c r="D250" s="318"/>
      <c r="E250" s="45"/>
      <c r="F250" s="302">
        <f t="shared" si="6"/>
        <v>0</v>
      </c>
    </row>
    <row r="251" spans="1:8" s="325" customFormat="1" ht="26.25">
      <c r="A251" s="326"/>
      <c r="B251" s="304" t="s">
        <v>1480</v>
      </c>
      <c r="C251" s="327"/>
      <c r="D251" s="318"/>
      <c r="E251" s="45"/>
      <c r="F251" s="302">
        <f t="shared" si="6"/>
        <v>0</v>
      </c>
    </row>
    <row r="252" spans="1:8" s="325" customFormat="1">
      <c r="A252" s="326"/>
      <c r="B252" s="331" t="s">
        <v>524</v>
      </c>
      <c r="C252" s="329"/>
      <c r="D252" s="318"/>
      <c r="E252" s="45"/>
      <c r="F252" s="302">
        <f t="shared" si="6"/>
        <v>0</v>
      </c>
    </row>
    <row r="253" spans="1:8" s="325" customFormat="1">
      <c r="A253" s="326"/>
      <c r="B253" s="331" t="s">
        <v>1477</v>
      </c>
      <c r="C253" s="329" t="s">
        <v>66</v>
      </c>
      <c r="D253" s="318">
        <v>12</v>
      </c>
      <c r="E253" s="45"/>
      <c r="F253" s="302">
        <f t="shared" si="6"/>
        <v>0</v>
      </c>
    </row>
    <row r="254" spans="1:8" s="325" customFormat="1">
      <c r="A254" s="326"/>
      <c r="B254" s="331" t="s">
        <v>1478</v>
      </c>
      <c r="C254" s="329" t="s">
        <v>66</v>
      </c>
      <c r="D254" s="318">
        <v>9</v>
      </c>
      <c r="E254" s="45"/>
      <c r="F254" s="302">
        <f t="shared" si="6"/>
        <v>0</v>
      </c>
      <c r="H254" s="334"/>
    </row>
    <row r="255" spans="1:8" s="325" customFormat="1">
      <c r="A255" s="299"/>
      <c r="B255" s="322"/>
      <c r="C255" s="300"/>
      <c r="D255" s="301"/>
      <c r="E255" s="10"/>
      <c r="F255" s="302">
        <f t="shared" si="6"/>
        <v>0</v>
      </c>
    </row>
    <row r="256" spans="1:8" s="325" customFormat="1">
      <c r="A256" s="310">
        <f>IF(B256&gt;0,MAX(A241:A255)+1,"")</f>
        <v>47</v>
      </c>
      <c r="B256" s="321" t="s">
        <v>1486</v>
      </c>
      <c r="C256" s="300"/>
      <c r="D256" s="301"/>
      <c r="E256" s="10"/>
      <c r="F256" s="302">
        <f t="shared" si="6"/>
        <v>0</v>
      </c>
    </row>
    <row r="257" spans="1:7" s="325" customFormat="1" ht="51">
      <c r="A257" s="326"/>
      <c r="B257" s="330" t="s">
        <v>1485</v>
      </c>
      <c r="C257" s="329"/>
      <c r="D257" s="318"/>
      <c r="E257" s="45"/>
      <c r="F257" s="302">
        <f t="shared" si="6"/>
        <v>0</v>
      </c>
    </row>
    <row r="258" spans="1:7" s="278" customFormat="1">
      <c r="A258" s="326"/>
      <c r="B258" s="330" t="s">
        <v>28</v>
      </c>
      <c r="C258" s="329" t="s">
        <v>27</v>
      </c>
      <c r="D258" s="318">
        <v>20</v>
      </c>
      <c r="E258" s="45"/>
      <c r="F258" s="302">
        <f t="shared" si="6"/>
        <v>0</v>
      </c>
    </row>
    <row r="259" spans="1:7" s="278" customFormat="1">
      <c r="A259" s="326"/>
      <c r="B259" s="330"/>
      <c r="C259" s="329"/>
      <c r="D259" s="318"/>
      <c r="E259" s="45"/>
      <c r="F259" s="302">
        <f t="shared" si="6"/>
        <v>0</v>
      </c>
      <c r="G259" s="325"/>
    </row>
    <row r="260" spans="1:7" s="325" customFormat="1">
      <c r="A260" s="310">
        <f>IF(B260&gt;0,MAX(A245:A259)+1,"")</f>
        <v>48</v>
      </c>
      <c r="B260" s="321" t="s">
        <v>1281</v>
      </c>
      <c r="C260" s="300"/>
      <c r="D260" s="301"/>
      <c r="E260" s="10"/>
      <c r="F260" s="302">
        <f t="shared" si="6"/>
        <v>0</v>
      </c>
    </row>
    <row r="261" spans="1:7" s="325" customFormat="1" ht="127.5">
      <c r="A261" s="299"/>
      <c r="B261" s="312" t="s">
        <v>1507</v>
      </c>
      <c r="C261" s="300"/>
      <c r="D261" s="301"/>
      <c r="E261" s="10"/>
      <c r="F261" s="302">
        <f t="shared" si="6"/>
        <v>0</v>
      </c>
    </row>
    <row r="262" spans="1:7" s="325" customFormat="1">
      <c r="A262" s="336"/>
      <c r="B262" s="337" t="s">
        <v>2138</v>
      </c>
      <c r="C262" s="285"/>
      <c r="D262" s="318"/>
      <c r="E262" s="45"/>
      <c r="F262" s="338"/>
    </row>
    <row r="263" spans="1:7" s="278" customFormat="1">
      <c r="A263" s="299"/>
      <c r="B263" s="322" t="s">
        <v>1282</v>
      </c>
      <c r="C263" s="300" t="s">
        <v>27</v>
      </c>
      <c r="D263" s="301">
        <f>335+50</f>
        <v>385</v>
      </c>
      <c r="E263" s="10"/>
      <c r="F263" s="302">
        <f t="shared" si="6"/>
        <v>0</v>
      </c>
    </row>
    <row r="264" spans="1:7" s="278" customFormat="1">
      <c r="A264" s="299"/>
      <c r="B264" s="322"/>
      <c r="C264" s="300"/>
      <c r="D264" s="301"/>
      <c r="E264" s="10"/>
      <c r="F264" s="302">
        <f t="shared" si="6"/>
        <v>0</v>
      </c>
    </row>
    <row r="265" spans="1:7" s="278" customFormat="1">
      <c r="A265" s="310">
        <f>IF(B265&gt;0,MAX(A249:A264)+1,"")</f>
        <v>49</v>
      </c>
      <c r="B265" s="321" t="s">
        <v>1283</v>
      </c>
      <c r="C265" s="300"/>
      <c r="D265" s="301"/>
      <c r="E265" s="10"/>
      <c r="F265" s="302">
        <f t="shared" si="6"/>
        <v>0</v>
      </c>
      <c r="G265" s="339"/>
    </row>
    <row r="266" spans="1:7" s="278" customFormat="1" ht="114.75">
      <c r="A266" s="299"/>
      <c r="B266" s="312" t="s">
        <v>1284</v>
      </c>
      <c r="C266" s="300"/>
      <c r="D266" s="301"/>
      <c r="E266" s="10"/>
      <c r="F266" s="302">
        <f t="shared" si="6"/>
        <v>0</v>
      </c>
    </row>
    <row r="267" spans="1:7" s="278" customFormat="1">
      <c r="A267" s="336"/>
      <c r="B267" s="337" t="s">
        <v>2138</v>
      </c>
      <c r="C267" s="285"/>
      <c r="D267" s="318"/>
      <c r="E267" s="45"/>
      <c r="F267" s="338"/>
    </row>
    <row r="268" spans="1:7" s="278" customFormat="1">
      <c r="A268" s="299"/>
      <c r="B268" s="322" t="s">
        <v>1282</v>
      </c>
      <c r="C268" s="300" t="s">
        <v>27</v>
      </c>
      <c r="D268" s="301">
        <f>335+50</f>
        <v>385</v>
      </c>
      <c r="E268" s="10"/>
      <c r="F268" s="302">
        <f t="shared" si="6"/>
        <v>0</v>
      </c>
    </row>
    <row r="269" spans="1:7" s="278" customFormat="1">
      <c r="A269" s="299"/>
      <c r="B269" s="322"/>
      <c r="C269" s="300"/>
      <c r="D269" s="301"/>
      <c r="E269" s="10"/>
      <c r="F269" s="302">
        <f t="shared" si="6"/>
        <v>0</v>
      </c>
    </row>
    <row r="270" spans="1:7" s="278" customFormat="1">
      <c r="A270" s="310">
        <f>IF(B270&gt;0,MAX(A253:A269)+1,"")</f>
        <v>50</v>
      </c>
      <c r="B270" s="321" t="s">
        <v>1842</v>
      </c>
      <c r="C270" s="300"/>
      <c r="D270" s="301"/>
      <c r="E270" s="10"/>
      <c r="F270" s="302">
        <f t="shared" si="6"/>
        <v>0</v>
      </c>
      <c r="G270" s="339"/>
    </row>
    <row r="271" spans="1:7" s="278" customFormat="1" ht="89.25">
      <c r="A271" s="299"/>
      <c r="B271" s="312" t="s">
        <v>1847</v>
      </c>
      <c r="C271" s="300"/>
      <c r="D271" s="301"/>
      <c r="E271" s="10"/>
      <c r="F271" s="302">
        <f t="shared" si="6"/>
        <v>0</v>
      </c>
    </row>
    <row r="272" spans="1:7" s="278" customFormat="1">
      <c r="A272" s="299"/>
      <c r="B272" s="322" t="s">
        <v>1843</v>
      </c>
      <c r="C272" s="300" t="s">
        <v>123</v>
      </c>
      <c r="D272" s="301">
        <v>1</v>
      </c>
      <c r="E272" s="10"/>
      <c r="F272" s="302">
        <f t="shared" si="6"/>
        <v>0</v>
      </c>
    </row>
    <row r="273" spans="1:7" s="278" customFormat="1">
      <c r="A273" s="299"/>
      <c r="B273" s="322"/>
      <c r="C273" s="300"/>
      <c r="D273" s="301"/>
      <c r="E273" s="10"/>
      <c r="F273" s="302">
        <f t="shared" si="6"/>
        <v>0</v>
      </c>
    </row>
    <row r="274" spans="1:7" s="278" customFormat="1" ht="30">
      <c r="A274" s="310">
        <f>IF(B274&gt;0,MAX(A258:A273)+1,"")</f>
        <v>51</v>
      </c>
      <c r="B274" s="340" t="s">
        <v>1844</v>
      </c>
      <c r="C274" s="300"/>
      <c r="D274" s="301"/>
      <c r="E274" s="10"/>
      <c r="F274" s="302">
        <f t="shared" si="6"/>
        <v>0</v>
      </c>
    </row>
    <row r="275" spans="1:7" s="278" customFormat="1" ht="153">
      <c r="A275" s="299"/>
      <c r="B275" s="312" t="s">
        <v>1846</v>
      </c>
      <c r="C275" s="300"/>
      <c r="D275" s="301"/>
      <c r="E275" s="10"/>
      <c r="F275" s="302">
        <f t="shared" si="6"/>
        <v>0</v>
      </c>
    </row>
    <row r="276" spans="1:7" s="278" customFormat="1">
      <c r="A276" s="299"/>
      <c r="B276" s="322" t="s">
        <v>1845</v>
      </c>
      <c r="C276" s="300" t="s">
        <v>34</v>
      </c>
      <c r="D276" s="301">
        <v>2</v>
      </c>
      <c r="E276" s="10"/>
      <c r="F276" s="302">
        <f t="shared" si="6"/>
        <v>0</v>
      </c>
    </row>
    <row r="277" spans="1:7" s="278" customFormat="1">
      <c r="A277" s="299"/>
      <c r="B277" s="322"/>
      <c r="C277" s="300"/>
      <c r="D277" s="301"/>
      <c r="E277" s="10"/>
      <c r="F277" s="302">
        <f t="shared" si="6"/>
        <v>0</v>
      </c>
    </row>
    <row r="278" spans="1:7" s="278" customFormat="1">
      <c r="A278" s="310">
        <f>IF(B278&gt;0,MAX(A263:A277)+1,"")</f>
        <v>52</v>
      </c>
      <c r="B278" s="340" t="s">
        <v>1864</v>
      </c>
      <c r="C278" s="300"/>
      <c r="D278" s="301"/>
      <c r="E278" s="10"/>
      <c r="F278" s="302">
        <f t="shared" si="6"/>
        <v>0</v>
      </c>
    </row>
    <row r="279" spans="1:7" s="278" customFormat="1" ht="63.75">
      <c r="A279" s="299"/>
      <c r="B279" s="312" t="s">
        <v>1868</v>
      </c>
      <c r="C279" s="300"/>
      <c r="D279" s="301"/>
      <c r="E279" s="10"/>
      <c r="F279" s="302">
        <f t="shared" ref="F279:F296" si="7">E279*D279</f>
        <v>0</v>
      </c>
    </row>
    <row r="280" spans="1:7" s="278" customFormat="1">
      <c r="A280" s="299"/>
      <c r="B280" s="322" t="s">
        <v>1869</v>
      </c>
      <c r="C280" s="300"/>
      <c r="D280" s="301"/>
      <c r="E280" s="10"/>
      <c r="F280" s="302">
        <f t="shared" si="7"/>
        <v>0</v>
      </c>
    </row>
    <row r="281" spans="1:7" s="278" customFormat="1">
      <c r="A281" s="299"/>
      <c r="B281" s="322" t="s">
        <v>1865</v>
      </c>
      <c r="C281" s="300" t="s">
        <v>34</v>
      </c>
      <c r="D281" s="301">
        <v>40</v>
      </c>
      <c r="E281" s="10"/>
      <c r="F281" s="302">
        <f t="shared" si="7"/>
        <v>0</v>
      </c>
    </row>
    <row r="282" spans="1:7" s="278" customFormat="1">
      <c r="A282" s="299"/>
      <c r="B282" s="322" t="s">
        <v>1866</v>
      </c>
      <c r="C282" s="300" t="s">
        <v>34</v>
      </c>
      <c r="D282" s="301">
        <v>20</v>
      </c>
      <c r="E282" s="10"/>
      <c r="F282" s="302">
        <f t="shared" si="7"/>
        <v>0</v>
      </c>
    </row>
    <row r="283" spans="1:7" s="278" customFormat="1">
      <c r="A283" s="299"/>
      <c r="B283" s="322" t="s">
        <v>1867</v>
      </c>
      <c r="C283" s="300" t="s">
        <v>26</v>
      </c>
      <c r="D283" s="301">
        <v>300</v>
      </c>
      <c r="E283" s="10"/>
      <c r="F283" s="302">
        <f t="shared" si="7"/>
        <v>0</v>
      </c>
    </row>
    <row r="284" spans="1:7" s="278" customFormat="1">
      <c r="A284" s="299"/>
      <c r="B284" s="322"/>
      <c r="C284" s="300"/>
      <c r="D284" s="301"/>
      <c r="E284" s="10"/>
      <c r="F284" s="302">
        <f t="shared" si="7"/>
        <v>0</v>
      </c>
    </row>
    <row r="285" spans="1:7" s="278" customFormat="1">
      <c r="A285" s="310">
        <f>IF(B285&gt;0,MAX(A271:A284)+1,"")</f>
        <v>53</v>
      </c>
      <c r="B285" s="340" t="s">
        <v>1892</v>
      </c>
      <c r="C285" s="300"/>
      <c r="D285" s="301"/>
      <c r="E285" s="10"/>
      <c r="F285" s="302">
        <f t="shared" si="7"/>
        <v>0</v>
      </c>
    </row>
    <row r="286" spans="1:7" s="278" customFormat="1" ht="26.25">
      <c r="A286" s="299"/>
      <c r="B286" s="304" t="s">
        <v>1893</v>
      </c>
      <c r="C286" s="300"/>
      <c r="D286" s="301"/>
      <c r="E286" s="10"/>
      <c r="F286" s="302">
        <f t="shared" si="7"/>
        <v>0</v>
      </c>
    </row>
    <row r="287" spans="1:7" s="278" customFormat="1" ht="39">
      <c r="A287" s="299"/>
      <c r="B287" s="304" t="s">
        <v>1894</v>
      </c>
      <c r="C287" s="300"/>
      <c r="D287" s="301"/>
      <c r="E287" s="10"/>
      <c r="F287" s="302">
        <f t="shared" si="7"/>
        <v>0</v>
      </c>
    </row>
    <row r="288" spans="1:7" s="278" customFormat="1">
      <c r="A288" s="299"/>
      <c r="B288" s="322" t="s">
        <v>1895</v>
      </c>
      <c r="C288" s="300"/>
      <c r="D288" s="301"/>
      <c r="E288" s="10"/>
      <c r="F288" s="302">
        <f t="shared" si="7"/>
        <v>0</v>
      </c>
      <c r="G288" s="324"/>
    </row>
    <row r="289" spans="1:7" s="278" customFormat="1">
      <c r="A289" s="299"/>
      <c r="B289" s="322" t="s">
        <v>2113</v>
      </c>
      <c r="C289" s="300" t="s">
        <v>34</v>
      </c>
      <c r="D289" s="301">
        <v>3</v>
      </c>
      <c r="E289" s="10"/>
      <c r="F289" s="302">
        <f t="shared" si="7"/>
        <v>0</v>
      </c>
      <c r="G289" s="324"/>
    </row>
    <row r="290" spans="1:7" s="278" customFormat="1">
      <c r="A290" s="299"/>
      <c r="B290" s="322" t="s">
        <v>2114</v>
      </c>
      <c r="C290" s="300" t="s">
        <v>34</v>
      </c>
      <c r="D290" s="301">
        <v>1</v>
      </c>
      <c r="E290" s="10"/>
      <c r="F290" s="302">
        <f t="shared" si="7"/>
        <v>0</v>
      </c>
    </row>
    <row r="291" spans="1:7" s="278" customFormat="1">
      <c r="A291" s="299"/>
      <c r="B291" s="322"/>
      <c r="C291" s="300"/>
      <c r="D291" s="301"/>
      <c r="E291" s="10"/>
      <c r="F291" s="302">
        <f t="shared" si="7"/>
        <v>0</v>
      </c>
    </row>
    <row r="292" spans="1:7" s="278" customFormat="1">
      <c r="A292" s="310">
        <f>IF(B292&gt;0,MAX(A276:A291)+1,"")</f>
        <v>54</v>
      </c>
      <c r="B292" s="340" t="s">
        <v>1941</v>
      </c>
      <c r="C292" s="300"/>
      <c r="D292" s="301"/>
      <c r="E292" s="10"/>
      <c r="F292" s="302">
        <f t="shared" si="7"/>
        <v>0</v>
      </c>
    </row>
    <row r="293" spans="1:7" s="278" customFormat="1" ht="77.25">
      <c r="A293" s="299"/>
      <c r="B293" s="304" t="s">
        <v>1942</v>
      </c>
      <c r="C293" s="300"/>
      <c r="D293" s="301"/>
      <c r="E293" s="10"/>
      <c r="F293" s="302">
        <f t="shared" si="7"/>
        <v>0</v>
      </c>
    </row>
    <row r="294" spans="1:7" s="278" customFormat="1" ht="39">
      <c r="A294" s="299"/>
      <c r="B294" s="304" t="s">
        <v>1894</v>
      </c>
      <c r="C294" s="300"/>
      <c r="D294" s="301"/>
      <c r="E294" s="10"/>
      <c r="F294" s="302">
        <f t="shared" si="7"/>
        <v>0</v>
      </c>
    </row>
    <row r="295" spans="1:7" s="278" customFormat="1">
      <c r="A295" s="299"/>
      <c r="B295" s="322" t="s">
        <v>83</v>
      </c>
      <c r="C295" s="300" t="s">
        <v>123</v>
      </c>
      <c r="D295" s="301">
        <v>1</v>
      </c>
      <c r="E295" s="10"/>
      <c r="F295" s="302">
        <f t="shared" si="7"/>
        <v>0</v>
      </c>
    </row>
    <row r="296" spans="1:7" s="278" customFormat="1">
      <c r="A296" s="299"/>
      <c r="B296" s="322"/>
      <c r="C296" s="300"/>
      <c r="D296" s="301"/>
      <c r="E296" s="10"/>
      <c r="F296" s="302">
        <f t="shared" si="7"/>
        <v>0</v>
      </c>
    </row>
    <row r="297" spans="1:7" s="278" customFormat="1">
      <c r="A297" s="289" t="s">
        <v>1556</v>
      </c>
      <c r="B297" s="290" t="s">
        <v>259</v>
      </c>
      <c r="C297" s="341"/>
      <c r="D297" s="342"/>
      <c r="E297" s="351"/>
      <c r="F297" s="343">
        <f>SUM(F12:F296)</f>
        <v>0</v>
      </c>
    </row>
    <row r="298" spans="1:7" s="278" customFormat="1">
      <c r="A298" s="336"/>
      <c r="B298" s="317"/>
      <c r="C298" s="317"/>
      <c r="D298" s="318"/>
      <c r="E298" s="45"/>
      <c r="F298" s="338"/>
    </row>
    <row r="299" spans="1:7" s="278" customFormat="1">
      <c r="A299" s="336"/>
      <c r="B299" s="317"/>
      <c r="C299" s="317"/>
      <c r="D299" s="318"/>
      <c r="E299" s="45"/>
      <c r="F299" s="338"/>
    </row>
    <row r="300" spans="1:7" s="278" customFormat="1">
      <c r="A300" s="344"/>
      <c r="B300" s="315"/>
      <c r="C300" s="315"/>
      <c r="D300" s="316"/>
      <c r="E300" s="352"/>
      <c r="F300" s="345"/>
    </row>
    <row r="301" spans="1:7" s="278" customFormat="1">
      <c r="A301" s="344"/>
      <c r="B301" s="315"/>
      <c r="C301" s="315"/>
      <c r="D301" s="316"/>
      <c r="E301" s="352"/>
      <c r="F301" s="345"/>
    </row>
    <row r="302" spans="1:7" s="278" customFormat="1">
      <c r="A302" s="344"/>
      <c r="B302" s="315"/>
      <c r="C302" s="315"/>
      <c r="D302" s="316"/>
      <c r="E302" s="352"/>
      <c r="F302" s="345"/>
    </row>
    <row r="316" spans="1:9" s="346" customFormat="1">
      <c r="A316" s="344"/>
      <c r="B316" s="315"/>
      <c r="C316" s="315"/>
      <c r="D316" s="316"/>
      <c r="E316" s="352"/>
      <c r="F316" s="345"/>
      <c r="I316" s="308"/>
    </row>
    <row r="317" spans="1:9" s="346" customFormat="1">
      <c r="A317" s="344"/>
      <c r="B317" s="315"/>
      <c r="C317" s="315"/>
      <c r="D317" s="316"/>
      <c r="E317" s="352"/>
      <c r="F317" s="345"/>
      <c r="I317" s="308"/>
    </row>
    <row r="318" spans="1:9" s="346" customFormat="1">
      <c r="A318" s="344"/>
      <c r="B318" s="315"/>
      <c r="C318" s="315"/>
      <c r="D318" s="316"/>
      <c r="E318" s="352"/>
      <c r="F318" s="345"/>
      <c r="I318" s="308"/>
    </row>
    <row r="319" spans="1:9" s="346" customFormat="1">
      <c r="A319" s="344"/>
      <c r="B319" s="315"/>
      <c r="C319" s="315"/>
      <c r="D319" s="316"/>
      <c r="E319" s="352"/>
      <c r="F319" s="345"/>
      <c r="I319" s="308"/>
    </row>
    <row r="320" spans="1:9" s="346" customFormat="1">
      <c r="A320" s="344"/>
      <c r="B320" s="315"/>
      <c r="C320" s="315"/>
      <c r="D320" s="316"/>
      <c r="E320" s="352"/>
      <c r="F320" s="345"/>
      <c r="I320" s="308"/>
    </row>
    <row r="321" spans="1:9" s="346" customFormat="1">
      <c r="A321" s="344"/>
      <c r="B321" s="315"/>
      <c r="C321" s="315"/>
      <c r="D321" s="316"/>
      <c r="E321" s="352"/>
      <c r="F321" s="345"/>
      <c r="I321" s="308"/>
    </row>
    <row r="322" spans="1:9" s="346" customFormat="1">
      <c r="A322" s="344"/>
      <c r="B322" s="315"/>
      <c r="C322" s="315"/>
      <c r="D322" s="316"/>
      <c r="E322" s="352"/>
      <c r="F322" s="345"/>
      <c r="I322" s="308"/>
    </row>
    <row r="323" spans="1:9" s="346" customFormat="1">
      <c r="A323" s="344"/>
      <c r="B323" s="315"/>
      <c r="C323" s="315"/>
      <c r="D323" s="316"/>
      <c r="E323" s="352"/>
      <c r="F323" s="345"/>
      <c r="I323" s="308"/>
    </row>
    <row r="324" spans="1:9" s="346" customFormat="1">
      <c r="A324" s="344"/>
      <c r="B324" s="315"/>
      <c r="C324" s="315"/>
      <c r="D324" s="316"/>
      <c r="E324" s="352"/>
      <c r="F324" s="345"/>
      <c r="I324" s="308"/>
    </row>
    <row r="325" spans="1:9" s="346" customFormat="1">
      <c r="A325" s="344"/>
      <c r="B325" s="315"/>
      <c r="C325" s="315"/>
      <c r="D325" s="316"/>
      <c r="E325" s="352"/>
      <c r="F325" s="345"/>
      <c r="I325" s="308"/>
    </row>
    <row r="326" spans="1:9" s="346" customFormat="1">
      <c r="A326" s="344"/>
      <c r="B326" s="315"/>
      <c r="C326" s="315"/>
      <c r="D326" s="316"/>
      <c r="E326" s="352"/>
      <c r="F326" s="345"/>
      <c r="I326" s="308"/>
    </row>
    <row r="327" spans="1:9" s="346" customFormat="1">
      <c r="A327" s="344"/>
      <c r="B327" s="315"/>
      <c r="C327" s="315"/>
      <c r="D327" s="316"/>
      <c r="E327" s="352"/>
      <c r="F327" s="345"/>
      <c r="I327" s="308"/>
    </row>
    <row r="328" spans="1:9" s="346" customFormat="1">
      <c r="A328" s="344"/>
      <c r="B328" s="315"/>
      <c r="C328" s="315"/>
      <c r="D328" s="316"/>
      <c r="E328" s="352"/>
      <c r="F328" s="345"/>
      <c r="I328" s="308"/>
    </row>
    <row r="329" spans="1:9" s="346" customFormat="1">
      <c r="A329" s="344"/>
      <c r="B329" s="315"/>
      <c r="C329" s="315"/>
      <c r="D329" s="316"/>
      <c r="E329" s="352"/>
      <c r="F329" s="345"/>
      <c r="I329" s="308"/>
    </row>
    <row r="330" spans="1:9" s="346" customFormat="1">
      <c r="A330" s="344"/>
      <c r="B330" s="315"/>
      <c r="C330" s="315"/>
      <c r="D330" s="316"/>
      <c r="E330" s="352"/>
      <c r="F330" s="345"/>
      <c r="I330" s="308"/>
    </row>
    <row r="331" spans="1:9" s="346" customFormat="1">
      <c r="A331" s="344"/>
      <c r="B331" s="315"/>
      <c r="C331" s="315"/>
      <c r="D331" s="316"/>
      <c r="E331" s="352"/>
      <c r="F331" s="345"/>
      <c r="I331" s="308"/>
    </row>
    <row r="332" spans="1:9" s="346" customFormat="1">
      <c r="A332" s="344"/>
      <c r="B332" s="315"/>
      <c r="C332" s="315"/>
      <c r="D332" s="316"/>
      <c r="E332" s="352"/>
      <c r="F332" s="345"/>
      <c r="I332" s="308"/>
    </row>
    <row r="333" spans="1:9" s="346" customFormat="1">
      <c r="A333" s="344"/>
      <c r="B333" s="315"/>
      <c r="C333" s="315"/>
      <c r="D333" s="316"/>
      <c r="E333" s="352"/>
      <c r="F333" s="345"/>
      <c r="I333" s="308"/>
    </row>
    <row r="334" spans="1:9" s="346" customFormat="1">
      <c r="A334" s="344"/>
      <c r="B334" s="315"/>
      <c r="C334" s="315"/>
      <c r="D334" s="316"/>
      <c r="E334" s="352"/>
      <c r="F334" s="345"/>
      <c r="I334" s="308"/>
    </row>
    <row r="335" spans="1:9" s="346" customFormat="1">
      <c r="A335" s="344"/>
      <c r="B335" s="315"/>
      <c r="C335" s="315"/>
      <c r="D335" s="316"/>
      <c r="E335" s="352"/>
      <c r="F335" s="345"/>
      <c r="I335" s="308"/>
    </row>
    <row r="336" spans="1:9" s="346" customFormat="1">
      <c r="A336" s="344"/>
      <c r="B336" s="315"/>
      <c r="C336" s="315"/>
      <c r="D336" s="316"/>
      <c r="E336" s="352"/>
      <c r="F336" s="345"/>
      <c r="I336" s="308"/>
    </row>
    <row r="337" spans="1:9" s="346" customFormat="1">
      <c r="A337" s="344"/>
      <c r="B337" s="315"/>
      <c r="C337" s="315"/>
      <c r="D337" s="316"/>
      <c r="E337" s="352"/>
      <c r="F337" s="345"/>
      <c r="I337" s="308"/>
    </row>
    <row r="338" spans="1:9" s="346" customFormat="1">
      <c r="A338" s="344"/>
      <c r="B338" s="315"/>
      <c r="C338" s="315"/>
      <c r="D338" s="316"/>
      <c r="E338" s="352"/>
      <c r="F338" s="345"/>
      <c r="I338" s="308"/>
    </row>
    <row r="339" spans="1:9" s="346" customFormat="1">
      <c r="A339" s="344"/>
      <c r="B339" s="315"/>
      <c r="C339" s="315"/>
      <c r="D339" s="316"/>
      <c r="E339" s="352"/>
      <c r="F339" s="345"/>
      <c r="I339" s="308"/>
    </row>
    <row r="340" spans="1:9" s="346" customFormat="1">
      <c r="A340" s="344"/>
      <c r="B340" s="315"/>
      <c r="C340" s="315"/>
      <c r="D340" s="316"/>
      <c r="E340" s="352"/>
      <c r="F340" s="345"/>
      <c r="I340" s="308"/>
    </row>
    <row r="341" spans="1:9" s="346" customFormat="1">
      <c r="A341" s="344"/>
      <c r="B341" s="315"/>
      <c r="C341" s="315"/>
      <c r="D341" s="316"/>
      <c r="E341" s="352"/>
      <c r="F341" s="345"/>
      <c r="I341" s="308"/>
    </row>
    <row r="342" spans="1:9" s="346" customFormat="1">
      <c r="A342" s="344"/>
      <c r="B342" s="315"/>
      <c r="C342" s="315"/>
      <c r="D342" s="316"/>
      <c r="E342" s="352"/>
      <c r="F342" s="345"/>
      <c r="I342" s="308"/>
    </row>
    <row r="343" spans="1:9" s="346" customFormat="1">
      <c r="A343" s="344"/>
      <c r="B343" s="315"/>
      <c r="C343" s="315"/>
      <c r="D343" s="316"/>
      <c r="E343" s="352"/>
      <c r="F343" s="345"/>
      <c r="I343" s="308"/>
    </row>
    <row r="344" spans="1:9" s="346" customFormat="1">
      <c r="A344" s="344"/>
      <c r="B344" s="315"/>
      <c r="C344" s="315"/>
      <c r="D344" s="316"/>
      <c r="E344" s="352"/>
      <c r="F344" s="345"/>
      <c r="I344" s="308"/>
    </row>
    <row r="345" spans="1:9" s="346" customFormat="1">
      <c r="A345" s="344"/>
      <c r="B345" s="315"/>
      <c r="C345" s="315"/>
      <c r="D345" s="316"/>
      <c r="E345" s="352"/>
      <c r="F345" s="345"/>
      <c r="I345" s="308"/>
    </row>
    <row r="346" spans="1:9" s="346" customFormat="1">
      <c r="A346" s="344"/>
      <c r="B346" s="315"/>
      <c r="C346" s="315"/>
      <c r="D346" s="316"/>
      <c r="E346" s="352"/>
      <c r="F346" s="345"/>
      <c r="I346" s="308"/>
    </row>
    <row r="347" spans="1:9" s="346" customFormat="1">
      <c r="A347" s="344"/>
      <c r="B347" s="315"/>
      <c r="C347" s="315"/>
      <c r="D347" s="316"/>
      <c r="E347" s="352"/>
      <c r="F347" s="345"/>
      <c r="I347" s="308"/>
    </row>
    <row r="348" spans="1:9" s="346" customFormat="1">
      <c r="A348" s="344"/>
      <c r="B348" s="315"/>
      <c r="C348" s="315"/>
      <c r="D348" s="316"/>
      <c r="E348" s="352"/>
      <c r="F348" s="345"/>
      <c r="I348" s="308"/>
    </row>
    <row r="349" spans="1:9" s="346" customFormat="1">
      <c r="A349" s="344"/>
      <c r="B349" s="315"/>
      <c r="C349" s="315"/>
      <c r="D349" s="316"/>
      <c r="E349" s="352"/>
      <c r="F349" s="345"/>
      <c r="I349" s="308"/>
    </row>
    <row r="350" spans="1:9" s="346" customFormat="1">
      <c r="A350" s="344"/>
      <c r="B350" s="315"/>
      <c r="C350" s="315"/>
      <c r="D350" s="316"/>
      <c r="E350" s="352"/>
      <c r="F350" s="345"/>
      <c r="I350" s="308"/>
    </row>
    <row r="351" spans="1:9" s="346" customFormat="1">
      <c r="A351" s="344"/>
      <c r="B351" s="315"/>
      <c r="C351" s="315"/>
      <c r="D351" s="316"/>
      <c r="E351" s="352"/>
      <c r="F351" s="345"/>
      <c r="I351" s="308"/>
    </row>
    <row r="352" spans="1:9" s="346" customFormat="1">
      <c r="A352" s="344"/>
      <c r="B352" s="315"/>
      <c r="C352" s="315"/>
      <c r="D352" s="316"/>
      <c r="E352" s="352"/>
      <c r="F352" s="345"/>
      <c r="I352" s="308"/>
    </row>
    <row r="353" spans="1:9" s="346" customFormat="1">
      <c r="A353" s="344"/>
      <c r="B353" s="315"/>
      <c r="C353" s="315"/>
      <c r="D353" s="316"/>
      <c r="E353" s="352"/>
      <c r="F353" s="345"/>
      <c r="I353" s="308"/>
    </row>
    <row r="354" spans="1:9" s="346" customFormat="1">
      <c r="A354" s="344"/>
      <c r="B354" s="315"/>
      <c r="C354" s="315"/>
      <c r="D354" s="316"/>
      <c r="E354" s="352"/>
      <c r="F354" s="345"/>
      <c r="I354" s="308"/>
    </row>
    <row r="355" spans="1:9" s="346" customFormat="1">
      <c r="A355" s="344"/>
      <c r="B355" s="315"/>
      <c r="C355" s="315"/>
      <c r="D355" s="316"/>
      <c r="E355" s="352"/>
      <c r="F355" s="345"/>
      <c r="I355" s="308"/>
    </row>
    <row r="356" spans="1:9" s="346" customFormat="1">
      <c r="A356" s="344"/>
      <c r="B356" s="315"/>
      <c r="C356" s="315"/>
      <c r="D356" s="316"/>
      <c r="E356" s="352"/>
      <c r="F356" s="345"/>
      <c r="I356" s="308"/>
    </row>
    <row r="357" spans="1:9" s="346" customFormat="1">
      <c r="A357" s="344"/>
      <c r="B357" s="315"/>
      <c r="C357" s="315"/>
      <c r="D357" s="316"/>
      <c r="E357" s="352"/>
      <c r="F357" s="345"/>
      <c r="I357" s="308"/>
    </row>
    <row r="358" spans="1:9" s="346" customFormat="1">
      <c r="A358" s="344"/>
      <c r="B358" s="315"/>
      <c r="C358" s="315"/>
      <c r="D358" s="316"/>
      <c r="E358" s="352"/>
      <c r="F358" s="345"/>
      <c r="I358" s="308"/>
    </row>
    <row r="359" spans="1:9" s="346" customFormat="1">
      <c r="A359" s="344"/>
      <c r="B359" s="315"/>
      <c r="C359" s="315"/>
      <c r="D359" s="316"/>
      <c r="E359" s="352"/>
      <c r="F359" s="345"/>
      <c r="I359" s="308"/>
    </row>
    <row r="360" spans="1:9" s="346" customFormat="1">
      <c r="A360" s="344"/>
      <c r="B360" s="315"/>
      <c r="C360" s="315"/>
      <c r="D360" s="316"/>
      <c r="E360" s="352"/>
      <c r="F360" s="345"/>
      <c r="I360" s="308"/>
    </row>
    <row r="361" spans="1:9" s="346" customFormat="1">
      <c r="A361" s="344"/>
      <c r="B361" s="315"/>
      <c r="C361" s="315"/>
      <c r="D361" s="316"/>
      <c r="E361" s="352"/>
      <c r="F361" s="345"/>
      <c r="I361" s="308"/>
    </row>
    <row r="362" spans="1:9" s="346" customFormat="1">
      <c r="A362" s="344"/>
      <c r="B362" s="315"/>
      <c r="C362" s="315"/>
      <c r="D362" s="316"/>
      <c r="E362" s="352"/>
      <c r="F362" s="345"/>
      <c r="I362" s="308"/>
    </row>
    <row r="363" spans="1:9" s="346" customFormat="1">
      <c r="A363" s="344"/>
      <c r="B363" s="315"/>
      <c r="C363" s="315"/>
      <c r="D363" s="316"/>
      <c r="E363" s="352"/>
      <c r="F363" s="345"/>
      <c r="I363" s="308"/>
    </row>
    <row r="364" spans="1:9" s="346" customFormat="1">
      <c r="A364" s="344"/>
      <c r="B364" s="315"/>
      <c r="C364" s="315"/>
      <c r="D364" s="316"/>
      <c r="E364" s="352"/>
      <c r="F364" s="345"/>
      <c r="I364" s="308"/>
    </row>
    <row r="365" spans="1:9" s="346" customFormat="1">
      <c r="A365" s="344"/>
      <c r="B365" s="315"/>
      <c r="C365" s="315"/>
      <c r="D365" s="316"/>
      <c r="E365" s="352"/>
      <c r="F365" s="345"/>
      <c r="I365" s="308"/>
    </row>
    <row r="366" spans="1:9" s="346" customFormat="1">
      <c r="A366" s="344"/>
      <c r="B366" s="315"/>
      <c r="C366" s="315"/>
      <c r="D366" s="316"/>
      <c r="E366" s="352"/>
      <c r="F366" s="345"/>
      <c r="I366" s="308"/>
    </row>
    <row r="367" spans="1:9" s="346" customFormat="1">
      <c r="A367" s="344"/>
      <c r="B367" s="315"/>
      <c r="C367" s="315"/>
      <c r="D367" s="316"/>
      <c r="E367" s="352"/>
      <c r="F367" s="345"/>
      <c r="I367" s="308"/>
    </row>
    <row r="368" spans="1:9" s="346" customFormat="1">
      <c r="A368" s="344"/>
      <c r="B368" s="315"/>
      <c r="C368" s="315"/>
      <c r="D368" s="316"/>
      <c r="E368" s="352"/>
      <c r="F368" s="345"/>
      <c r="I368" s="308"/>
    </row>
    <row r="369" spans="1:9" s="346" customFormat="1">
      <c r="A369" s="344"/>
      <c r="B369" s="315"/>
      <c r="C369" s="315"/>
      <c r="D369" s="316"/>
      <c r="E369" s="352"/>
      <c r="F369" s="345"/>
      <c r="I369" s="308"/>
    </row>
    <row r="370" spans="1:9" s="346" customFormat="1">
      <c r="A370" s="344"/>
      <c r="B370" s="315"/>
      <c r="C370" s="315"/>
      <c r="D370" s="316"/>
      <c r="E370" s="352"/>
      <c r="F370" s="345"/>
      <c r="I370" s="308"/>
    </row>
    <row r="371" spans="1:9" s="346" customFormat="1">
      <c r="A371" s="344"/>
      <c r="B371" s="315"/>
      <c r="C371" s="315"/>
      <c r="D371" s="316"/>
      <c r="E371" s="352"/>
      <c r="F371" s="345"/>
      <c r="I371" s="308"/>
    </row>
    <row r="372" spans="1:9" s="346" customFormat="1">
      <c r="A372" s="344"/>
      <c r="B372" s="315"/>
      <c r="C372" s="315"/>
      <c r="D372" s="316"/>
      <c r="E372" s="352"/>
      <c r="F372" s="345"/>
      <c r="I372" s="308"/>
    </row>
    <row r="373" spans="1:9" s="346" customFormat="1">
      <c r="A373" s="344"/>
      <c r="B373" s="315"/>
      <c r="C373" s="315"/>
      <c r="D373" s="316"/>
      <c r="E373" s="352"/>
      <c r="F373" s="345"/>
      <c r="I373" s="308"/>
    </row>
    <row r="374" spans="1:9" s="346" customFormat="1">
      <c r="A374" s="344"/>
      <c r="B374" s="315"/>
      <c r="C374" s="315"/>
      <c r="D374" s="316"/>
      <c r="E374" s="352"/>
      <c r="F374" s="345"/>
      <c r="I374" s="308"/>
    </row>
    <row r="375" spans="1:9" s="346" customFormat="1">
      <c r="A375" s="344"/>
      <c r="B375" s="315"/>
      <c r="C375" s="315"/>
      <c r="D375" s="316"/>
      <c r="E375" s="352"/>
      <c r="F375" s="345"/>
      <c r="I375" s="308"/>
    </row>
    <row r="376" spans="1:9" s="346" customFormat="1">
      <c r="A376" s="344"/>
      <c r="B376" s="315"/>
      <c r="C376" s="315"/>
      <c r="D376" s="316"/>
      <c r="E376" s="352"/>
      <c r="F376" s="345"/>
      <c r="I376" s="308"/>
    </row>
    <row r="377" spans="1:9" s="346" customFormat="1">
      <c r="A377" s="344"/>
      <c r="B377" s="315"/>
      <c r="C377" s="315"/>
      <c r="D377" s="316"/>
      <c r="E377" s="352"/>
      <c r="F377" s="345"/>
      <c r="I377" s="308"/>
    </row>
    <row r="378" spans="1:9" s="346" customFormat="1">
      <c r="A378" s="344"/>
      <c r="B378" s="315"/>
      <c r="C378" s="315"/>
      <c r="D378" s="316"/>
      <c r="E378" s="352"/>
      <c r="F378" s="345"/>
      <c r="I378" s="308"/>
    </row>
    <row r="379" spans="1:9" s="346" customFormat="1">
      <c r="A379" s="344"/>
      <c r="B379" s="315"/>
      <c r="C379" s="315"/>
      <c r="D379" s="316"/>
      <c r="E379" s="352"/>
      <c r="F379" s="345"/>
      <c r="I379" s="308"/>
    </row>
    <row r="380" spans="1:9" s="346" customFormat="1">
      <c r="A380" s="344"/>
      <c r="B380" s="315"/>
      <c r="C380" s="315"/>
      <c r="D380" s="316"/>
      <c r="E380" s="352"/>
      <c r="F380" s="345"/>
      <c r="I380" s="308"/>
    </row>
    <row r="381" spans="1:9" s="346" customFormat="1">
      <c r="A381" s="344"/>
      <c r="B381" s="315"/>
      <c r="C381" s="315"/>
      <c r="D381" s="316"/>
      <c r="E381" s="352"/>
      <c r="F381" s="345"/>
      <c r="I381" s="308"/>
    </row>
    <row r="382" spans="1:9" s="346" customFormat="1">
      <c r="A382" s="344"/>
      <c r="B382" s="315"/>
      <c r="C382" s="315"/>
      <c r="D382" s="316"/>
      <c r="E382" s="352"/>
      <c r="F382" s="345"/>
      <c r="I382" s="308"/>
    </row>
    <row r="383" spans="1:9" s="346" customFormat="1">
      <c r="A383" s="344"/>
      <c r="B383" s="315"/>
      <c r="C383" s="315"/>
      <c r="D383" s="316"/>
      <c r="E383" s="352"/>
      <c r="F383" s="345"/>
      <c r="I383" s="308"/>
    </row>
    <row r="384" spans="1:9" s="346" customFormat="1">
      <c r="A384" s="344"/>
      <c r="B384" s="315"/>
      <c r="C384" s="315"/>
      <c r="D384" s="316"/>
      <c r="E384" s="352"/>
      <c r="F384" s="345"/>
      <c r="I384" s="308"/>
    </row>
    <row r="385" spans="1:9" s="346" customFormat="1">
      <c r="A385" s="344"/>
      <c r="B385" s="315"/>
      <c r="C385" s="315"/>
      <c r="D385" s="316"/>
      <c r="E385" s="352"/>
      <c r="F385" s="345"/>
      <c r="I385" s="308"/>
    </row>
    <row r="386" spans="1:9" s="346" customFormat="1">
      <c r="A386" s="344"/>
      <c r="B386" s="315"/>
      <c r="C386" s="315"/>
      <c r="D386" s="316"/>
      <c r="E386" s="352"/>
      <c r="F386" s="345"/>
      <c r="I386" s="308"/>
    </row>
    <row r="387" spans="1:9" s="346" customFormat="1">
      <c r="A387" s="344"/>
      <c r="B387" s="315"/>
      <c r="C387" s="315"/>
      <c r="D387" s="316"/>
      <c r="E387" s="352"/>
      <c r="F387" s="345"/>
      <c r="I387" s="308"/>
    </row>
    <row r="388" spans="1:9" s="346" customFormat="1">
      <c r="A388" s="344"/>
      <c r="B388" s="315"/>
      <c r="C388" s="315"/>
      <c r="D388" s="316"/>
      <c r="E388" s="352"/>
      <c r="F388" s="345"/>
      <c r="I388" s="308"/>
    </row>
    <row r="389" spans="1:9" s="346" customFormat="1">
      <c r="A389" s="344"/>
      <c r="B389" s="315"/>
      <c r="C389" s="315"/>
      <c r="D389" s="316"/>
      <c r="E389" s="352"/>
      <c r="F389" s="345"/>
      <c r="I389" s="308"/>
    </row>
    <row r="390" spans="1:9" s="346" customFormat="1">
      <c r="A390" s="344"/>
      <c r="B390" s="315"/>
      <c r="C390" s="315"/>
      <c r="D390" s="316"/>
      <c r="E390" s="352"/>
      <c r="F390" s="345"/>
      <c r="I390" s="308"/>
    </row>
    <row r="391" spans="1:9" s="346" customFormat="1">
      <c r="A391" s="344"/>
      <c r="B391" s="315"/>
      <c r="C391" s="315"/>
      <c r="D391" s="316"/>
      <c r="E391" s="352"/>
      <c r="F391" s="345"/>
      <c r="I391" s="308"/>
    </row>
    <row r="392" spans="1:9" s="346" customFormat="1">
      <c r="A392" s="344"/>
      <c r="B392" s="315"/>
      <c r="C392" s="315"/>
      <c r="D392" s="316"/>
      <c r="E392" s="352"/>
      <c r="F392" s="345"/>
      <c r="I392" s="308"/>
    </row>
    <row r="393" spans="1:9" s="346" customFormat="1">
      <c r="A393" s="344"/>
      <c r="B393" s="315"/>
      <c r="C393" s="315"/>
      <c r="D393" s="316"/>
      <c r="E393" s="352"/>
      <c r="F393" s="345"/>
      <c r="I393" s="308"/>
    </row>
    <row r="394" spans="1:9" s="346" customFormat="1">
      <c r="A394" s="344"/>
      <c r="B394" s="315"/>
      <c r="C394" s="315"/>
      <c r="D394" s="316"/>
      <c r="E394" s="352"/>
      <c r="F394" s="345"/>
      <c r="I394" s="308"/>
    </row>
    <row r="395" spans="1:9" s="346" customFormat="1">
      <c r="A395" s="344"/>
      <c r="B395" s="315"/>
      <c r="C395" s="315"/>
      <c r="D395" s="316"/>
      <c r="E395" s="352"/>
      <c r="F395" s="345"/>
      <c r="I395" s="308"/>
    </row>
    <row r="396" spans="1:9" s="346" customFormat="1">
      <c r="A396" s="344"/>
      <c r="B396" s="315"/>
      <c r="C396" s="315"/>
      <c r="D396" s="316"/>
      <c r="E396" s="352"/>
      <c r="F396" s="345"/>
      <c r="I396" s="308"/>
    </row>
    <row r="397" spans="1:9" s="346" customFormat="1">
      <c r="A397" s="344"/>
      <c r="B397" s="315"/>
      <c r="C397" s="315"/>
      <c r="D397" s="316"/>
      <c r="E397" s="352"/>
      <c r="F397" s="345"/>
      <c r="I397" s="308"/>
    </row>
    <row r="398" spans="1:9" s="346" customFormat="1">
      <c r="A398" s="344"/>
      <c r="B398" s="315"/>
      <c r="C398" s="315"/>
      <c r="D398" s="316"/>
      <c r="E398" s="352"/>
      <c r="F398" s="345"/>
      <c r="I398" s="308"/>
    </row>
    <row r="399" spans="1:9" s="346" customFormat="1">
      <c r="A399" s="344"/>
      <c r="B399" s="315"/>
      <c r="C399" s="315"/>
      <c r="D399" s="316"/>
      <c r="E399" s="352"/>
      <c r="F399" s="345"/>
      <c r="I399" s="308"/>
    </row>
    <row r="400" spans="1:9" s="346" customFormat="1">
      <c r="A400" s="344"/>
      <c r="B400" s="315"/>
      <c r="C400" s="315"/>
      <c r="D400" s="316"/>
      <c r="E400" s="352"/>
      <c r="F400" s="345"/>
      <c r="I400" s="308"/>
    </row>
    <row r="401" spans="1:9" s="346" customFormat="1">
      <c r="A401" s="344"/>
      <c r="B401" s="315"/>
      <c r="C401" s="315"/>
      <c r="D401" s="316"/>
      <c r="E401" s="352"/>
      <c r="F401" s="345"/>
      <c r="I401" s="308"/>
    </row>
    <row r="402" spans="1:9" s="346" customFormat="1">
      <c r="A402" s="344"/>
      <c r="B402" s="315"/>
      <c r="C402" s="315"/>
      <c r="D402" s="316"/>
      <c r="E402" s="352"/>
      <c r="F402" s="345"/>
      <c r="I402" s="308"/>
    </row>
    <row r="403" spans="1:9" s="346" customFormat="1">
      <c r="A403" s="344"/>
      <c r="B403" s="315"/>
      <c r="C403" s="315"/>
      <c r="D403" s="316"/>
      <c r="E403" s="352"/>
      <c r="F403" s="345"/>
      <c r="I403" s="308"/>
    </row>
    <row r="404" spans="1:9" s="346" customFormat="1">
      <c r="A404" s="344"/>
      <c r="B404" s="315"/>
      <c r="C404" s="315"/>
      <c r="D404" s="316"/>
      <c r="E404" s="352"/>
      <c r="F404" s="345"/>
      <c r="I404" s="308"/>
    </row>
    <row r="405" spans="1:9" s="346" customFormat="1">
      <c r="A405" s="344"/>
      <c r="B405" s="315"/>
      <c r="C405" s="315"/>
      <c r="D405" s="316"/>
      <c r="E405" s="352"/>
      <c r="F405" s="345"/>
      <c r="I405" s="308"/>
    </row>
    <row r="406" spans="1:9" s="346" customFormat="1">
      <c r="A406" s="344"/>
      <c r="B406" s="315"/>
      <c r="C406" s="315"/>
      <c r="D406" s="316"/>
      <c r="E406" s="352"/>
      <c r="F406" s="345"/>
      <c r="I406" s="308"/>
    </row>
    <row r="407" spans="1:9" s="346" customFormat="1">
      <c r="A407" s="344"/>
      <c r="B407" s="315"/>
      <c r="C407" s="315"/>
      <c r="D407" s="316"/>
      <c r="E407" s="352"/>
      <c r="F407" s="345"/>
      <c r="I407" s="308"/>
    </row>
    <row r="408" spans="1:9" s="346" customFormat="1">
      <c r="A408" s="344"/>
      <c r="B408" s="315"/>
      <c r="C408" s="315"/>
      <c r="D408" s="316"/>
      <c r="E408" s="352"/>
      <c r="F408" s="345"/>
      <c r="I408" s="308"/>
    </row>
    <row r="409" spans="1:9" s="346" customFormat="1">
      <c r="A409" s="344"/>
      <c r="B409" s="315"/>
      <c r="C409" s="315"/>
      <c r="D409" s="316"/>
      <c r="E409" s="352"/>
      <c r="F409" s="345"/>
      <c r="I409" s="308"/>
    </row>
    <row r="410" spans="1:9" s="346" customFormat="1">
      <c r="A410" s="344"/>
      <c r="B410" s="315"/>
      <c r="C410" s="315"/>
      <c r="D410" s="316"/>
      <c r="E410" s="352"/>
      <c r="F410" s="345"/>
      <c r="I410" s="308"/>
    </row>
    <row r="411" spans="1:9" s="346" customFormat="1">
      <c r="A411" s="344"/>
      <c r="B411" s="315"/>
      <c r="C411" s="315"/>
      <c r="D411" s="316"/>
      <c r="E411" s="352"/>
      <c r="F411" s="345"/>
      <c r="I411" s="308"/>
    </row>
    <row r="412" spans="1:9" s="346" customFormat="1">
      <c r="A412" s="344"/>
      <c r="B412" s="315"/>
      <c r="C412" s="315"/>
      <c r="D412" s="316"/>
      <c r="E412" s="352"/>
      <c r="F412" s="345"/>
      <c r="I412" s="308"/>
    </row>
    <row r="413" spans="1:9" s="346" customFormat="1">
      <c r="A413" s="344"/>
      <c r="B413" s="315"/>
      <c r="C413" s="315"/>
      <c r="D413" s="316"/>
      <c r="E413" s="352"/>
      <c r="F413" s="345"/>
      <c r="I413" s="308"/>
    </row>
    <row r="414" spans="1:9" s="346" customFormat="1">
      <c r="A414" s="344"/>
      <c r="B414" s="315"/>
      <c r="C414" s="315"/>
      <c r="D414" s="316"/>
      <c r="E414" s="352"/>
      <c r="F414" s="345"/>
      <c r="I414" s="308"/>
    </row>
    <row r="415" spans="1:9" s="346" customFormat="1">
      <c r="A415" s="344"/>
      <c r="B415" s="315"/>
      <c r="C415" s="315"/>
      <c r="D415" s="316"/>
      <c r="E415" s="352"/>
      <c r="F415" s="345"/>
      <c r="I415" s="308"/>
    </row>
    <row r="416" spans="1:9" s="346" customFormat="1">
      <c r="A416" s="344"/>
      <c r="B416" s="315"/>
      <c r="C416" s="315"/>
      <c r="D416" s="316"/>
      <c r="E416" s="352"/>
      <c r="F416" s="345"/>
      <c r="I416" s="308"/>
    </row>
    <row r="417" spans="1:9" s="346" customFormat="1">
      <c r="A417" s="344"/>
      <c r="B417" s="315"/>
      <c r="C417" s="315"/>
      <c r="D417" s="316"/>
      <c r="E417" s="352"/>
      <c r="F417" s="345"/>
      <c r="I417" s="308"/>
    </row>
    <row r="418" spans="1:9" s="346" customFormat="1">
      <c r="A418" s="344"/>
      <c r="B418" s="315"/>
      <c r="C418" s="315"/>
      <c r="D418" s="316"/>
      <c r="E418" s="352"/>
      <c r="F418" s="345"/>
      <c r="I418" s="308"/>
    </row>
    <row r="419" spans="1:9" s="346" customFormat="1">
      <c r="A419" s="344"/>
      <c r="B419" s="315"/>
      <c r="C419" s="315"/>
      <c r="D419" s="316"/>
      <c r="E419" s="352"/>
      <c r="F419" s="345"/>
      <c r="I419" s="308"/>
    </row>
    <row r="420" spans="1:9" s="346" customFormat="1">
      <c r="A420" s="344"/>
      <c r="B420" s="315"/>
      <c r="C420" s="315"/>
      <c r="D420" s="316"/>
      <c r="E420" s="352"/>
      <c r="F420" s="345"/>
      <c r="I420" s="308"/>
    </row>
    <row r="421" spans="1:9" s="346" customFormat="1">
      <c r="A421" s="344"/>
      <c r="B421" s="315"/>
      <c r="C421" s="315"/>
      <c r="D421" s="316"/>
      <c r="E421" s="352"/>
      <c r="F421" s="345"/>
      <c r="I421" s="308"/>
    </row>
    <row r="422" spans="1:9" s="346" customFormat="1">
      <c r="A422" s="344"/>
      <c r="B422" s="315"/>
      <c r="C422" s="315"/>
      <c r="D422" s="316"/>
      <c r="E422" s="352"/>
      <c r="F422" s="345"/>
      <c r="I422" s="308"/>
    </row>
    <row r="423" spans="1:9" s="346" customFormat="1">
      <c r="A423" s="344"/>
      <c r="B423" s="315"/>
      <c r="C423" s="315"/>
      <c r="D423" s="316"/>
      <c r="E423" s="352"/>
      <c r="F423" s="345"/>
      <c r="I423" s="308"/>
    </row>
    <row r="424" spans="1:9" s="346" customFormat="1">
      <c r="A424" s="344"/>
      <c r="B424" s="315"/>
      <c r="C424" s="315"/>
      <c r="D424" s="316"/>
      <c r="E424" s="352"/>
      <c r="F424" s="345"/>
      <c r="I424" s="308"/>
    </row>
    <row r="425" spans="1:9" s="346" customFormat="1">
      <c r="A425" s="344"/>
      <c r="B425" s="315"/>
      <c r="C425" s="315"/>
      <c r="D425" s="316"/>
      <c r="E425" s="352"/>
      <c r="F425" s="345"/>
      <c r="I425" s="308"/>
    </row>
    <row r="426" spans="1:9" s="346" customFormat="1">
      <c r="A426" s="344"/>
      <c r="B426" s="315"/>
      <c r="C426" s="315"/>
      <c r="D426" s="316"/>
      <c r="E426" s="352"/>
      <c r="F426" s="345"/>
      <c r="I426" s="308"/>
    </row>
    <row r="427" spans="1:9" s="346" customFormat="1">
      <c r="A427" s="344"/>
      <c r="B427" s="315"/>
      <c r="C427" s="315"/>
      <c r="D427" s="316"/>
      <c r="E427" s="352"/>
      <c r="F427" s="345"/>
      <c r="I427" s="308"/>
    </row>
    <row r="428" spans="1:9" s="346" customFormat="1">
      <c r="A428" s="344"/>
      <c r="B428" s="315"/>
      <c r="C428" s="315"/>
      <c r="D428" s="316"/>
      <c r="E428" s="352"/>
      <c r="F428" s="345"/>
      <c r="I428" s="308"/>
    </row>
    <row r="429" spans="1:9" s="346" customFormat="1">
      <c r="A429" s="344"/>
      <c r="B429" s="315"/>
      <c r="C429" s="315"/>
      <c r="D429" s="316"/>
      <c r="E429" s="352"/>
      <c r="F429" s="345"/>
      <c r="I429" s="308"/>
    </row>
    <row r="430" spans="1:9" s="346" customFormat="1">
      <c r="A430" s="344"/>
      <c r="B430" s="315"/>
      <c r="C430" s="315"/>
      <c r="D430" s="316"/>
      <c r="E430" s="352"/>
      <c r="F430" s="345"/>
      <c r="I430" s="308"/>
    </row>
    <row r="431" spans="1:9" s="346" customFormat="1">
      <c r="A431" s="344"/>
      <c r="B431" s="315"/>
      <c r="C431" s="315"/>
      <c r="D431" s="316"/>
      <c r="E431" s="352"/>
      <c r="F431" s="345"/>
      <c r="I431" s="308"/>
    </row>
    <row r="432" spans="1:9" s="346" customFormat="1">
      <c r="A432" s="344"/>
      <c r="B432" s="315"/>
      <c r="C432" s="315"/>
      <c r="D432" s="316"/>
      <c r="E432" s="352"/>
      <c r="F432" s="345"/>
      <c r="I432" s="308"/>
    </row>
    <row r="433" spans="1:9" s="346" customFormat="1">
      <c r="A433" s="344"/>
      <c r="B433" s="315"/>
      <c r="C433" s="315"/>
      <c r="D433" s="316"/>
      <c r="E433" s="352"/>
      <c r="F433" s="345"/>
      <c r="I433" s="308"/>
    </row>
    <row r="434" spans="1:9" s="346" customFormat="1">
      <c r="A434" s="344"/>
      <c r="B434" s="315"/>
      <c r="C434" s="315"/>
      <c r="D434" s="316"/>
      <c r="E434" s="352"/>
      <c r="F434" s="345"/>
      <c r="I434" s="308"/>
    </row>
    <row r="435" spans="1:9" s="346" customFormat="1">
      <c r="A435" s="344"/>
      <c r="B435" s="315"/>
      <c r="C435" s="315"/>
      <c r="D435" s="316"/>
      <c r="E435" s="352"/>
      <c r="F435" s="345"/>
      <c r="I435" s="308"/>
    </row>
    <row r="436" spans="1:9" s="346" customFormat="1">
      <c r="A436" s="344"/>
      <c r="B436" s="315"/>
      <c r="C436" s="315"/>
      <c r="D436" s="316"/>
      <c r="E436" s="352"/>
      <c r="F436" s="345"/>
      <c r="I436" s="308"/>
    </row>
    <row r="437" spans="1:9" s="346" customFormat="1">
      <c r="A437" s="344"/>
      <c r="B437" s="315"/>
      <c r="C437" s="315"/>
      <c r="D437" s="316"/>
      <c r="E437" s="352"/>
      <c r="F437" s="345"/>
      <c r="I437" s="308"/>
    </row>
    <row r="438" spans="1:9" s="346" customFormat="1">
      <c r="A438" s="344"/>
      <c r="B438" s="315"/>
      <c r="C438" s="315"/>
      <c r="D438" s="316"/>
      <c r="E438" s="352"/>
      <c r="F438" s="345"/>
      <c r="I438" s="308"/>
    </row>
    <row r="439" spans="1:9" s="346" customFormat="1">
      <c r="A439" s="344"/>
      <c r="B439" s="315"/>
      <c r="C439" s="315"/>
      <c r="D439" s="316"/>
      <c r="E439" s="352"/>
      <c r="F439" s="345"/>
      <c r="I439" s="308"/>
    </row>
    <row r="440" spans="1:9" s="346" customFormat="1">
      <c r="A440" s="344"/>
      <c r="B440" s="315"/>
      <c r="C440" s="315"/>
      <c r="D440" s="316"/>
      <c r="E440" s="352"/>
      <c r="F440" s="345"/>
      <c r="I440" s="308"/>
    </row>
    <row r="441" spans="1:9" s="346" customFormat="1">
      <c r="A441" s="344"/>
      <c r="B441" s="315"/>
      <c r="C441" s="315"/>
      <c r="D441" s="316"/>
      <c r="E441" s="352"/>
      <c r="F441" s="345"/>
      <c r="I441" s="308"/>
    </row>
    <row r="442" spans="1:9" s="346" customFormat="1">
      <c r="A442" s="344"/>
      <c r="B442" s="315"/>
      <c r="C442" s="315"/>
      <c r="D442" s="316"/>
      <c r="E442" s="352"/>
      <c r="F442" s="345"/>
      <c r="I442" s="308"/>
    </row>
    <row r="443" spans="1:9" s="346" customFormat="1">
      <c r="A443" s="344"/>
      <c r="B443" s="315"/>
      <c r="C443" s="315"/>
      <c r="D443" s="316"/>
      <c r="E443" s="352"/>
      <c r="F443" s="345"/>
      <c r="I443" s="308"/>
    </row>
    <row r="444" spans="1:9" s="346" customFormat="1">
      <c r="A444" s="344"/>
      <c r="B444" s="315"/>
      <c r="C444" s="315"/>
      <c r="D444" s="316"/>
      <c r="E444" s="352"/>
      <c r="F444" s="345"/>
      <c r="I444" s="308"/>
    </row>
    <row r="445" spans="1:9" s="346" customFormat="1">
      <c r="A445" s="344"/>
      <c r="B445" s="315"/>
      <c r="C445" s="315"/>
      <c r="D445" s="316"/>
      <c r="E445" s="352"/>
      <c r="F445" s="345"/>
      <c r="I445" s="308"/>
    </row>
    <row r="446" spans="1:9" s="346" customFormat="1">
      <c r="A446" s="344"/>
      <c r="B446" s="315"/>
      <c r="C446" s="315"/>
      <c r="D446" s="316"/>
      <c r="E446" s="352"/>
      <c r="F446" s="345"/>
      <c r="I446" s="308"/>
    </row>
    <row r="447" spans="1:9" s="346" customFormat="1">
      <c r="A447" s="344"/>
      <c r="B447" s="315"/>
      <c r="C447" s="315"/>
      <c r="D447" s="316"/>
      <c r="E447" s="352"/>
      <c r="F447" s="345"/>
      <c r="I447" s="308"/>
    </row>
    <row r="448" spans="1:9" s="346" customFormat="1">
      <c r="A448" s="344"/>
      <c r="B448" s="315"/>
      <c r="C448" s="315"/>
      <c r="D448" s="316"/>
      <c r="E448" s="352"/>
      <c r="F448" s="345"/>
      <c r="I448" s="308"/>
    </row>
    <row r="449" spans="1:9" s="346" customFormat="1">
      <c r="A449" s="344"/>
      <c r="B449" s="315"/>
      <c r="C449" s="315"/>
      <c r="D449" s="316"/>
      <c r="E449" s="352"/>
      <c r="F449" s="345"/>
      <c r="I449" s="308"/>
    </row>
    <row r="450" spans="1:9" s="346" customFormat="1">
      <c r="A450" s="344"/>
      <c r="B450" s="315"/>
      <c r="C450" s="315"/>
      <c r="D450" s="316"/>
      <c r="E450" s="352"/>
      <c r="F450" s="345"/>
      <c r="I450" s="308"/>
    </row>
    <row r="451" spans="1:9" s="346" customFormat="1">
      <c r="A451" s="344"/>
      <c r="B451" s="315"/>
      <c r="C451" s="315"/>
      <c r="D451" s="316"/>
      <c r="E451" s="352"/>
      <c r="F451" s="345"/>
      <c r="I451" s="308"/>
    </row>
    <row r="452" spans="1:9" s="346" customFormat="1">
      <c r="A452" s="344"/>
      <c r="B452" s="315"/>
      <c r="C452" s="315"/>
      <c r="D452" s="316"/>
      <c r="E452" s="352"/>
      <c r="F452" s="345"/>
      <c r="I452" s="308"/>
    </row>
    <row r="453" spans="1:9" s="346" customFormat="1">
      <c r="A453" s="344"/>
      <c r="B453" s="315"/>
      <c r="C453" s="315"/>
      <c r="D453" s="316"/>
      <c r="E453" s="352"/>
      <c r="F453" s="345"/>
      <c r="I453" s="308"/>
    </row>
    <row r="454" spans="1:9" s="346" customFormat="1">
      <c r="A454" s="344"/>
      <c r="B454" s="315"/>
      <c r="C454" s="315"/>
      <c r="D454" s="316"/>
      <c r="E454" s="352"/>
      <c r="F454" s="345"/>
      <c r="I454" s="308"/>
    </row>
    <row r="455" spans="1:9" s="346" customFormat="1">
      <c r="A455" s="344"/>
      <c r="B455" s="315"/>
      <c r="C455" s="315"/>
      <c r="D455" s="316"/>
      <c r="E455" s="352"/>
      <c r="F455" s="345"/>
      <c r="I455" s="308"/>
    </row>
    <row r="456" spans="1:9" s="346" customFormat="1">
      <c r="A456" s="344"/>
      <c r="B456" s="315"/>
      <c r="C456" s="315"/>
      <c r="D456" s="316"/>
      <c r="E456" s="352"/>
      <c r="F456" s="345"/>
      <c r="I456" s="308"/>
    </row>
    <row r="457" spans="1:9" s="346" customFormat="1">
      <c r="A457" s="344"/>
      <c r="B457" s="315"/>
      <c r="C457" s="315"/>
      <c r="D457" s="316"/>
      <c r="E457" s="352"/>
      <c r="F457" s="345"/>
      <c r="I457" s="308"/>
    </row>
    <row r="458" spans="1:9" s="346" customFormat="1">
      <c r="A458" s="344"/>
      <c r="B458" s="315"/>
      <c r="C458" s="315"/>
      <c r="D458" s="316"/>
      <c r="E458" s="352"/>
      <c r="F458" s="345"/>
      <c r="I458" s="308"/>
    </row>
    <row r="459" spans="1:9" s="346" customFormat="1">
      <c r="A459" s="344"/>
      <c r="B459" s="315"/>
      <c r="C459" s="315"/>
      <c r="D459" s="316"/>
      <c r="E459" s="352"/>
      <c r="F459" s="345"/>
      <c r="I459" s="308"/>
    </row>
    <row r="460" spans="1:9" s="346" customFormat="1">
      <c r="A460" s="344"/>
      <c r="B460" s="315"/>
      <c r="C460" s="315"/>
      <c r="D460" s="316"/>
      <c r="E460" s="352"/>
      <c r="F460" s="345"/>
      <c r="I460" s="308"/>
    </row>
    <row r="461" spans="1:9" s="346" customFormat="1">
      <c r="A461" s="344"/>
      <c r="B461" s="315"/>
      <c r="C461" s="315"/>
      <c r="D461" s="316"/>
      <c r="E461" s="352"/>
      <c r="F461" s="345"/>
      <c r="I461" s="308"/>
    </row>
    <row r="462" spans="1:9" s="346" customFormat="1">
      <c r="A462" s="344"/>
      <c r="B462" s="315"/>
      <c r="C462" s="315"/>
      <c r="D462" s="316"/>
      <c r="E462" s="352"/>
      <c r="F462" s="345"/>
      <c r="I462" s="308"/>
    </row>
    <row r="463" spans="1:9" s="346" customFormat="1">
      <c r="A463" s="344"/>
      <c r="B463" s="315"/>
      <c r="C463" s="315"/>
      <c r="D463" s="316"/>
      <c r="E463" s="352"/>
      <c r="F463" s="345"/>
      <c r="I463" s="308"/>
    </row>
    <row r="464" spans="1:9" s="346" customFormat="1">
      <c r="A464" s="344"/>
      <c r="B464" s="315"/>
      <c r="C464" s="315"/>
      <c r="D464" s="316"/>
      <c r="E464" s="352"/>
      <c r="F464" s="345"/>
      <c r="I464" s="308"/>
    </row>
    <row r="465" spans="1:9" s="346" customFormat="1">
      <c r="A465" s="344"/>
      <c r="B465" s="315"/>
      <c r="C465" s="315"/>
      <c r="D465" s="316"/>
      <c r="E465" s="352"/>
      <c r="F465" s="345"/>
      <c r="I465" s="308"/>
    </row>
    <row r="466" spans="1:9" s="346" customFormat="1">
      <c r="A466" s="344"/>
      <c r="B466" s="315"/>
      <c r="C466" s="315"/>
      <c r="D466" s="316"/>
      <c r="E466" s="352"/>
      <c r="F466" s="345"/>
      <c r="I466" s="308"/>
    </row>
    <row r="467" spans="1:9" s="346" customFormat="1">
      <c r="A467" s="344"/>
      <c r="B467" s="315"/>
      <c r="C467" s="315"/>
      <c r="D467" s="316"/>
      <c r="E467" s="352"/>
      <c r="F467" s="345"/>
      <c r="I467" s="308"/>
    </row>
    <row r="468" spans="1:9" s="346" customFormat="1">
      <c r="A468" s="344"/>
      <c r="B468" s="315"/>
      <c r="C468" s="315"/>
      <c r="D468" s="316"/>
      <c r="E468" s="352"/>
      <c r="F468" s="345"/>
      <c r="I468" s="308"/>
    </row>
    <row r="469" spans="1:9" s="346" customFormat="1">
      <c r="A469" s="344"/>
      <c r="B469" s="315"/>
      <c r="C469" s="315"/>
      <c r="D469" s="316"/>
      <c r="E469" s="352"/>
      <c r="F469" s="345"/>
      <c r="I469" s="308"/>
    </row>
    <row r="470" spans="1:9" s="346" customFormat="1">
      <c r="A470" s="344"/>
      <c r="B470" s="315"/>
      <c r="C470" s="315"/>
      <c r="D470" s="316"/>
      <c r="E470" s="352"/>
      <c r="F470" s="345"/>
      <c r="I470" s="308"/>
    </row>
    <row r="471" spans="1:9" s="346" customFormat="1">
      <c r="A471" s="344"/>
      <c r="B471" s="315"/>
      <c r="C471" s="315"/>
      <c r="D471" s="316"/>
      <c r="E471" s="352"/>
      <c r="F471" s="345"/>
      <c r="I471" s="308"/>
    </row>
    <row r="472" spans="1:9" s="346" customFormat="1">
      <c r="A472" s="344"/>
      <c r="B472" s="315"/>
      <c r="C472" s="315"/>
      <c r="D472" s="316"/>
      <c r="E472" s="352"/>
      <c r="F472" s="345"/>
      <c r="I472" s="308"/>
    </row>
    <row r="473" spans="1:9" s="346" customFormat="1">
      <c r="A473" s="344"/>
      <c r="B473" s="315"/>
      <c r="C473" s="315"/>
      <c r="D473" s="316"/>
      <c r="E473" s="352"/>
      <c r="F473" s="345"/>
      <c r="I473" s="308"/>
    </row>
    <row r="474" spans="1:9" s="346" customFormat="1">
      <c r="A474" s="344"/>
      <c r="B474" s="315"/>
      <c r="C474" s="315"/>
      <c r="D474" s="316"/>
      <c r="E474" s="352"/>
      <c r="F474" s="345"/>
      <c r="I474" s="308"/>
    </row>
    <row r="475" spans="1:9" s="346" customFormat="1">
      <c r="A475" s="344"/>
      <c r="B475" s="315"/>
      <c r="C475" s="315"/>
      <c r="D475" s="316"/>
      <c r="E475" s="352"/>
      <c r="F475" s="345"/>
      <c r="I475" s="308"/>
    </row>
    <row r="476" spans="1:9" s="346" customFormat="1">
      <c r="A476" s="344"/>
      <c r="B476" s="315"/>
      <c r="C476" s="315"/>
      <c r="D476" s="316"/>
      <c r="E476" s="352"/>
      <c r="F476" s="345"/>
      <c r="I476" s="308"/>
    </row>
    <row r="477" spans="1:9" s="346" customFormat="1">
      <c r="A477" s="344"/>
      <c r="B477" s="315"/>
      <c r="C477" s="315"/>
      <c r="D477" s="316"/>
      <c r="E477" s="352"/>
      <c r="F477" s="345"/>
      <c r="I477" s="308"/>
    </row>
    <row r="478" spans="1:9" s="346" customFormat="1">
      <c r="A478" s="344"/>
      <c r="B478" s="315"/>
      <c r="C478" s="315"/>
      <c r="D478" s="316"/>
      <c r="E478" s="352"/>
      <c r="F478" s="345"/>
      <c r="I478" s="308"/>
    </row>
    <row r="479" spans="1:9" s="346" customFormat="1">
      <c r="A479" s="344"/>
      <c r="B479" s="315"/>
      <c r="C479" s="315"/>
      <c r="D479" s="316"/>
      <c r="E479" s="352"/>
      <c r="F479" s="345"/>
      <c r="I479" s="308"/>
    </row>
    <row r="480" spans="1:9" s="346" customFormat="1">
      <c r="A480" s="344"/>
      <c r="B480" s="315"/>
      <c r="C480" s="315"/>
      <c r="D480" s="316"/>
      <c r="E480" s="352"/>
      <c r="F480" s="345"/>
      <c r="I480" s="308"/>
    </row>
    <row r="481" spans="1:9" s="346" customFormat="1">
      <c r="A481" s="344"/>
      <c r="B481" s="315"/>
      <c r="C481" s="315"/>
      <c r="D481" s="316"/>
      <c r="E481" s="352"/>
      <c r="F481" s="345"/>
      <c r="I481" s="308"/>
    </row>
    <row r="482" spans="1:9" s="346" customFormat="1">
      <c r="A482" s="344"/>
      <c r="B482" s="315"/>
      <c r="C482" s="315"/>
      <c r="D482" s="316"/>
      <c r="E482" s="352"/>
      <c r="F482" s="345"/>
      <c r="I482" s="308"/>
    </row>
    <row r="483" spans="1:9" s="346" customFormat="1">
      <c r="A483" s="344"/>
      <c r="B483" s="315"/>
      <c r="C483" s="315"/>
      <c r="D483" s="316"/>
      <c r="E483" s="352"/>
      <c r="F483" s="345"/>
      <c r="I483" s="308"/>
    </row>
    <row r="484" spans="1:9" s="346" customFormat="1">
      <c r="A484" s="344"/>
      <c r="B484" s="315"/>
      <c r="C484" s="315"/>
      <c r="D484" s="316"/>
      <c r="E484" s="352"/>
      <c r="F484" s="345"/>
      <c r="I484" s="308"/>
    </row>
    <row r="485" spans="1:9" s="346" customFormat="1">
      <c r="A485" s="344"/>
      <c r="B485" s="315"/>
      <c r="C485" s="315"/>
      <c r="D485" s="316"/>
      <c r="E485" s="352"/>
      <c r="F485" s="345"/>
      <c r="I485" s="308"/>
    </row>
    <row r="486" spans="1:9" s="346" customFormat="1">
      <c r="A486" s="344"/>
      <c r="B486" s="315"/>
      <c r="C486" s="315"/>
      <c r="D486" s="316"/>
      <c r="E486" s="352"/>
      <c r="F486" s="345"/>
      <c r="I486" s="308"/>
    </row>
    <row r="487" spans="1:9" s="346" customFormat="1">
      <c r="A487" s="344"/>
      <c r="B487" s="315"/>
      <c r="C487" s="315"/>
      <c r="D487" s="316"/>
      <c r="E487" s="352"/>
      <c r="F487" s="345"/>
      <c r="I487" s="308"/>
    </row>
    <row r="488" spans="1:9" s="346" customFormat="1">
      <c r="A488" s="344"/>
      <c r="B488" s="315"/>
      <c r="C488" s="315"/>
      <c r="D488" s="316"/>
      <c r="E488" s="352"/>
      <c r="F488" s="345"/>
      <c r="I488" s="308"/>
    </row>
    <row r="489" spans="1:9" s="346" customFormat="1">
      <c r="A489" s="344"/>
      <c r="B489" s="315"/>
      <c r="C489" s="315"/>
      <c r="D489" s="316"/>
      <c r="E489" s="352"/>
      <c r="F489" s="345"/>
      <c r="I489" s="308"/>
    </row>
    <row r="490" spans="1:9" s="346" customFormat="1">
      <c r="A490" s="344"/>
      <c r="B490" s="315"/>
      <c r="C490" s="315"/>
      <c r="D490" s="316"/>
      <c r="E490" s="352"/>
      <c r="F490" s="345"/>
      <c r="I490" s="308"/>
    </row>
    <row r="491" spans="1:9" s="346" customFormat="1">
      <c r="A491" s="344"/>
      <c r="B491" s="315"/>
      <c r="C491" s="315"/>
      <c r="D491" s="316"/>
      <c r="E491" s="352"/>
      <c r="F491" s="345"/>
      <c r="I491" s="308"/>
    </row>
    <row r="492" spans="1:9" s="346" customFormat="1">
      <c r="A492" s="344"/>
      <c r="B492" s="315"/>
      <c r="C492" s="315"/>
      <c r="D492" s="316"/>
      <c r="E492" s="352"/>
      <c r="F492" s="345"/>
      <c r="I492" s="308"/>
    </row>
    <row r="493" spans="1:9" s="346" customFormat="1">
      <c r="A493" s="344"/>
      <c r="B493" s="315"/>
      <c r="C493" s="315"/>
      <c r="D493" s="316"/>
      <c r="E493" s="352"/>
      <c r="F493" s="345"/>
      <c r="I493" s="308"/>
    </row>
    <row r="494" spans="1:9" s="346" customFormat="1">
      <c r="A494" s="344"/>
      <c r="B494" s="315"/>
      <c r="C494" s="315"/>
      <c r="D494" s="316"/>
      <c r="E494" s="352"/>
      <c r="F494" s="345"/>
      <c r="I494" s="308"/>
    </row>
    <row r="495" spans="1:9" s="346" customFormat="1">
      <c r="A495" s="344"/>
      <c r="B495" s="315"/>
      <c r="C495" s="315"/>
      <c r="D495" s="316"/>
      <c r="E495" s="352"/>
      <c r="F495" s="345"/>
      <c r="I495" s="308"/>
    </row>
    <row r="496" spans="1:9" s="346" customFormat="1">
      <c r="A496" s="344"/>
      <c r="B496" s="315"/>
      <c r="C496" s="315"/>
      <c r="D496" s="316"/>
      <c r="E496" s="352"/>
      <c r="F496" s="345"/>
      <c r="I496" s="308"/>
    </row>
    <row r="497" spans="1:9" s="346" customFormat="1">
      <c r="A497" s="344"/>
      <c r="B497" s="315"/>
      <c r="C497" s="315"/>
      <c r="D497" s="316"/>
      <c r="E497" s="352"/>
      <c r="F497" s="345"/>
      <c r="I497" s="308"/>
    </row>
    <row r="498" spans="1:9" s="346" customFormat="1">
      <c r="A498" s="344"/>
      <c r="B498" s="315"/>
      <c r="C498" s="315"/>
      <c r="D498" s="316"/>
      <c r="E498" s="352"/>
      <c r="F498" s="345"/>
      <c r="I498" s="308"/>
    </row>
    <row r="539" spans="1:9" s="346" customFormat="1">
      <c r="A539" s="344"/>
      <c r="B539" s="315"/>
      <c r="C539" s="315"/>
      <c r="D539" s="316"/>
      <c r="E539" s="352"/>
      <c r="F539" s="345"/>
      <c r="I539" s="308"/>
    </row>
    <row r="548" spans="1:9" s="346" customFormat="1">
      <c r="A548" s="344"/>
      <c r="B548" s="315"/>
      <c r="C548" s="315"/>
      <c r="D548" s="316"/>
      <c r="E548" s="352"/>
      <c r="F548" s="345"/>
      <c r="I548" s="308"/>
    </row>
    <row r="549" spans="1:9" s="346" customFormat="1">
      <c r="A549" s="344"/>
      <c r="B549" s="315"/>
      <c r="C549" s="315"/>
      <c r="D549" s="316"/>
      <c r="E549" s="352"/>
      <c r="F549" s="345"/>
      <c r="I549" s="308"/>
    </row>
    <row r="550" spans="1:9" s="346" customFormat="1">
      <c r="A550" s="344"/>
      <c r="B550" s="315"/>
      <c r="C550" s="315"/>
      <c r="D550" s="316"/>
      <c r="E550" s="352"/>
      <c r="F550" s="345"/>
      <c r="I550" s="308"/>
    </row>
    <row r="551" spans="1:9" s="346" customFormat="1">
      <c r="A551" s="344"/>
      <c r="B551" s="315"/>
      <c r="C551" s="315"/>
      <c r="D551" s="316"/>
      <c r="E551" s="352"/>
      <c r="F551" s="345"/>
      <c r="I551" s="308"/>
    </row>
    <row r="552" spans="1:9" s="346" customFormat="1">
      <c r="A552" s="344"/>
      <c r="B552" s="315"/>
      <c r="C552" s="315"/>
      <c r="D552" s="316"/>
      <c r="E552" s="352"/>
      <c r="F552" s="345"/>
      <c r="I552" s="308"/>
    </row>
    <row r="553" spans="1:9" s="346" customFormat="1">
      <c r="A553" s="344"/>
      <c r="B553" s="315"/>
      <c r="C553" s="315"/>
      <c r="D553" s="316"/>
      <c r="E553" s="352"/>
      <c r="F553" s="345"/>
      <c r="I553" s="308"/>
    </row>
    <row r="607" spans="1:9" s="346" customFormat="1">
      <c r="A607" s="344"/>
      <c r="B607" s="315"/>
      <c r="C607" s="315"/>
      <c r="D607" s="316"/>
      <c r="E607" s="352"/>
      <c r="F607" s="345"/>
      <c r="I607" s="308"/>
    </row>
  </sheetData>
  <sheetProtection password="C891" sheet="1" objects="1" scenarios="1"/>
  <pageMargins left="0.70866141732283472" right="0.70866141732283472" top="0.74803149606299213" bottom="0.74803149606299213" header="0.31496062992125984" footer="0.31496062992125984"/>
  <pageSetup paperSize="9" scale="77" orientation="portrait" r:id="rId1"/>
  <headerFooter>
    <oddHeader xml:space="preserve">&amp;L&amp;10Investitor: Hrvatski institut za povijest&amp;C&amp;10Troškovnik - građevinskih i obrtničkih 
radova
&amp;R&amp;10datum:
lipanj 2025.
</oddHeader>
    <oddFooter>&amp;C&amp;10Građevina:
Palača bogoštovlja i nastave&amp;R&amp;10str.: &amp;P od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66"/>
  </sheetPr>
  <dimension ref="A1:H1174"/>
  <sheetViews>
    <sheetView showZeros="0" topLeftCell="A405" zoomScaleNormal="100" zoomScaleSheetLayoutView="120" workbookViewId="0">
      <selection activeCell="F417" sqref="F417"/>
    </sheetView>
  </sheetViews>
  <sheetFormatPr defaultColWidth="8.85546875" defaultRowHeight="15"/>
  <cols>
    <col min="1" max="1" width="10.85546875" style="344" customWidth="1"/>
    <col min="2" max="2" width="55.7109375" style="315" customWidth="1"/>
    <col min="3" max="3" width="8.7109375" style="315" customWidth="1"/>
    <col min="4" max="4" width="11.28515625" style="316" customWidth="1"/>
    <col min="5" max="5" width="11.28515625" style="352" customWidth="1"/>
    <col min="6" max="6" width="13.7109375" style="345" customWidth="1"/>
    <col min="7" max="7" width="32.85546875" style="359" customWidth="1"/>
    <col min="8" max="8" width="8.85546875" style="308"/>
    <col min="9" max="9" width="83.28515625" style="308" customWidth="1"/>
    <col min="10" max="16384" width="8.85546875" style="308"/>
  </cols>
  <sheetData>
    <row r="1" spans="1:7" s="278" customFormat="1">
      <c r="A1" s="273" t="s">
        <v>106</v>
      </c>
      <c r="B1" s="274"/>
      <c r="C1" s="275" t="s">
        <v>105</v>
      </c>
      <c r="D1" s="276"/>
      <c r="E1" s="347" t="s">
        <v>164</v>
      </c>
      <c r="F1" s="277" t="s">
        <v>103</v>
      </c>
      <c r="G1" s="339"/>
    </row>
    <row r="2" spans="1:7" s="278" customFormat="1">
      <c r="A2" s="279" t="s">
        <v>102</v>
      </c>
      <c r="B2" s="280" t="s">
        <v>101</v>
      </c>
      <c r="C2" s="281" t="s">
        <v>100</v>
      </c>
      <c r="D2" s="282" t="s">
        <v>99</v>
      </c>
      <c r="E2" s="348" t="s">
        <v>98</v>
      </c>
      <c r="F2" s="283" t="s">
        <v>98</v>
      </c>
      <c r="G2" s="339"/>
    </row>
    <row r="3" spans="1:7" s="278" customFormat="1">
      <c r="A3" s="284"/>
      <c r="B3" s="285"/>
      <c r="C3" s="286"/>
      <c r="D3" s="287"/>
      <c r="E3" s="13"/>
      <c r="F3" s="288"/>
      <c r="G3" s="339"/>
    </row>
    <row r="4" spans="1:7" s="278" customFormat="1">
      <c r="A4" s="289" t="s">
        <v>97</v>
      </c>
      <c r="B4" s="290" t="s">
        <v>96</v>
      </c>
      <c r="C4" s="291"/>
      <c r="D4" s="292"/>
      <c r="E4" s="349"/>
      <c r="F4" s="293"/>
      <c r="G4" s="339"/>
    </row>
    <row r="5" spans="1:7" s="278" customFormat="1">
      <c r="A5" s="284"/>
      <c r="B5" s="294"/>
      <c r="C5" s="286"/>
      <c r="D5" s="287"/>
      <c r="E5" s="13"/>
      <c r="F5" s="288"/>
      <c r="G5" s="339"/>
    </row>
    <row r="6" spans="1:7" s="278" customFormat="1">
      <c r="A6" s="289" t="s">
        <v>9</v>
      </c>
      <c r="B6" s="290" t="s">
        <v>95</v>
      </c>
      <c r="C6" s="295"/>
      <c r="D6" s="296"/>
      <c r="E6" s="350"/>
      <c r="F6" s="297"/>
      <c r="G6" s="339"/>
    </row>
    <row r="7" spans="1:7" s="278" customFormat="1">
      <c r="A7" s="284"/>
      <c r="B7" s="298"/>
      <c r="C7" s="286"/>
      <c r="D7" s="287"/>
      <c r="E7" s="13"/>
      <c r="F7" s="288"/>
      <c r="G7" s="339"/>
    </row>
    <row r="8" spans="1:7" s="278" customFormat="1">
      <c r="A8" s="289" t="s">
        <v>24</v>
      </c>
      <c r="B8" s="290" t="s">
        <v>94</v>
      </c>
      <c r="C8" s="341"/>
      <c r="D8" s="342"/>
      <c r="E8" s="351"/>
      <c r="F8" s="353"/>
      <c r="G8" s="354"/>
    </row>
    <row r="9" spans="1:7" s="278" customFormat="1">
      <c r="A9" s="355"/>
      <c r="B9" s="356"/>
      <c r="C9" s="356"/>
      <c r="D9" s="301"/>
      <c r="E9" s="10"/>
      <c r="F9" s="302"/>
      <c r="G9" s="339"/>
    </row>
    <row r="10" spans="1:7">
      <c r="A10" s="357">
        <f>IF(B10&gt;0,MAX(A$9:A9)+1,"")</f>
        <v>1</v>
      </c>
      <c r="B10" s="358" t="s">
        <v>1423</v>
      </c>
      <c r="C10" s="356"/>
      <c r="D10" s="301"/>
      <c r="E10" s="7"/>
      <c r="F10" s="307"/>
    </row>
    <row r="11" spans="1:7" ht="63.75">
      <c r="A11" s="360"/>
      <c r="B11" s="361" t="s">
        <v>1424</v>
      </c>
      <c r="C11" s="356"/>
      <c r="D11" s="301"/>
      <c r="E11" s="7"/>
      <c r="F11" s="307"/>
    </row>
    <row r="12" spans="1:7">
      <c r="A12" s="360"/>
      <c r="B12" s="361" t="s">
        <v>83</v>
      </c>
      <c r="C12" s="356"/>
      <c r="D12" s="301"/>
      <c r="E12" s="7"/>
      <c r="F12" s="307"/>
    </row>
    <row r="13" spans="1:7">
      <c r="A13" s="360"/>
      <c r="B13" s="361" t="s">
        <v>1425</v>
      </c>
      <c r="C13" s="356" t="s">
        <v>123</v>
      </c>
      <c r="D13" s="301">
        <v>1</v>
      </c>
      <c r="E13" s="10"/>
      <c r="F13" s="302">
        <f>D13*E13</f>
        <v>0</v>
      </c>
    </row>
    <row r="14" spans="1:7">
      <c r="A14" s="360"/>
      <c r="B14" s="361" t="s">
        <v>1426</v>
      </c>
      <c r="C14" s="356" t="s">
        <v>123</v>
      </c>
      <c r="D14" s="301">
        <v>1</v>
      </c>
      <c r="E14" s="7"/>
      <c r="F14" s="302">
        <f t="shared" ref="F14:F80" si="0">D14*E14</f>
        <v>0</v>
      </c>
    </row>
    <row r="15" spans="1:7">
      <c r="A15" s="360"/>
      <c r="B15" s="361" t="s">
        <v>1427</v>
      </c>
      <c r="C15" s="356" t="s">
        <v>123</v>
      </c>
      <c r="D15" s="301">
        <v>1</v>
      </c>
      <c r="E15" s="7"/>
      <c r="F15" s="302">
        <f t="shared" si="0"/>
        <v>0</v>
      </c>
    </row>
    <row r="16" spans="1:7">
      <c r="A16" s="360"/>
      <c r="B16" s="361" t="s">
        <v>1428</v>
      </c>
      <c r="C16" s="356" t="s">
        <v>123</v>
      </c>
      <c r="D16" s="301">
        <v>1</v>
      </c>
      <c r="E16" s="7"/>
      <c r="F16" s="302">
        <f t="shared" si="0"/>
        <v>0</v>
      </c>
    </row>
    <row r="17" spans="1:7">
      <c r="A17" s="360"/>
      <c r="B17" s="361" t="s">
        <v>1429</v>
      </c>
      <c r="C17" s="356" t="s">
        <v>123</v>
      </c>
      <c r="D17" s="301">
        <v>1</v>
      </c>
      <c r="E17" s="7"/>
      <c r="F17" s="302">
        <f t="shared" si="0"/>
        <v>0</v>
      </c>
    </row>
    <row r="18" spans="1:7">
      <c r="A18" s="360"/>
      <c r="B18" s="361" t="s">
        <v>1430</v>
      </c>
      <c r="C18" s="356" t="s">
        <v>123</v>
      </c>
      <c r="D18" s="301">
        <v>1</v>
      </c>
      <c r="E18" s="7"/>
      <c r="F18" s="302">
        <f t="shared" si="0"/>
        <v>0</v>
      </c>
    </row>
    <row r="19" spans="1:7">
      <c r="A19" s="360"/>
      <c r="B19" s="361"/>
      <c r="C19" s="356"/>
      <c r="D19" s="301"/>
      <c r="E19" s="7"/>
      <c r="F19" s="302">
        <f t="shared" si="0"/>
        <v>0</v>
      </c>
    </row>
    <row r="20" spans="1:7" s="278" customFormat="1">
      <c r="A20" s="357">
        <f>IF(B20&gt;0,MAX(A$9:A19)+1,"")</f>
        <v>2</v>
      </c>
      <c r="B20" s="358" t="s">
        <v>1276</v>
      </c>
      <c r="C20" s="356"/>
      <c r="D20" s="301"/>
      <c r="E20" s="10"/>
      <c r="F20" s="302">
        <f t="shared" si="0"/>
        <v>0</v>
      </c>
      <c r="G20" s="339"/>
    </row>
    <row r="21" spans="1:7" s="278" customFormat="1" ht="111" customHeight="1">
      <c r="A21" s="362"/>
      <c r="B21" s="361" t="s">
        <v>1277</v>
      </c>
      <c r="C21" s="356"/>
      <c r="D21" s="301"/>
      <c r="E21" s="10"/>
      <c r="F21" s="302">
        <f t="shared" si="0"/>
        <v>0</v>
      </c>
      <c r="G21" s="339"/>
    </row>
    <row r="22" spans="1:7" s="278" customFormat="1">
      <c r="A22" s="362"/>
      <c r="B22" s="361" t="s">
        <v>258</v>
      </c>
      <c r="C22" s="356" t="s">
        <v>123</v>
      </c>
      <c r="D22" s="301">
        <v>1</v>
      </c>
      <c r="E22" s="10"/>
      <c r="F22" s="302">
        <f t="shared" si="0"/>
        <v>0</v>
      </c>
      <c r="G22" s="339"/>
    </row>
    <row r="23" spans="1:7">
      <c r="A23" s="360"/>
      <c r="B23" s="363"/>
      <c r="C23" s="363"/>
      <c r="D23" s="306"/>
      <c r="E23" s="7"/>
      <c r="F23" s="302">
        <f t="shared" si="0"/>
        <v>0</v>
      </c>
    </row>
    <row r="24" spans="1:7">
      <c r="A24" s="357">
        <f>IF(B24&gt;0,MAX(A$9:A23)+1,"")</f>
        <v>3</v>
      </c>
      <c r="B24" s="358" t="s">
        <v>1310</v>
      </c>
      <c r="C24" s="363"/>
      <c r="D24" s="306"/>
      <c r="E24" s="7"/>
      <c r="F24" s="302">
        <f t="shared" si="0"/>
        <v>0</v>
      </c>
    </row>
    <row r="25" spans="1:7" ht="95.25" customHeight="1">
      <c r="A25" s="360"/>
      <c r="B25" s="361" t="s">
        <v>2013</v>
      </c>
      <c r="C25" s="363"/>
      <c r="D25" s="306"/>
      <c r="E25" s="7"/>
      <c r="F25" s="302">
        <f t="shared" si="0"/>
        <v>0</v>
      </c>
    </row>
    <row r="26" spans="1:7">
      <c r="A26" s="360"/>
      <c r="B26" s="361" t="s">
        <v>258</v>
      </c>
      <c r="C26" s="356" t="s">
        <v>123</v>
      </c>
      <c r="D26" s="301">
        <v>1</v>
      </c>
      <c r="E26" s="7"/>
      <c r="F26" s="302">
        <f t="shared" si="0"/>
        <v>0</v>
      </c>
    </row>
    <row r="27" spans="1:7">
      <c r="A27" s="360"/>
      <c r="B27" s="356"/>
      <c r="C27" s="356"/>
      <c r="D27" s="301"/>
      <c r="E27" s="7"/>
      <c r="F27" s="302">
        <f t="shared" si="0"/>
        <v>0</v>
      </c>
    </row>
    <row r="28" spans="1:7">
      <c r="A28" s="357">
        <f>IF(B28&gt;0,MAX(A$9:A27)+1,"")</f>
        <v>4</v>
      </c>
      <c r="B28" s="358" t="s">
        <v>1311</v>
      </c>
      <c r="C28" s="356"/>
      <c r="D28" s="301"/>
      <c r="E28" s="7"/>
      <c r="F28" s="302">
        <f t="shared" si="0"/>
        <v>0</v>
      </c>
    </row>
    <row r="29" spans="1:7" ht="132" customHeight="1">
      <c r="A29" s="360"/>
      <c r="B29" s="361" t="s">
        <v>1931</v>
      </c>
      <c r="C29" s="356"/>
      <c r="D29" s="301"/>
      <c r="E29" s="7"/>
      <c r="F29" s="302">
        <f t="shared" si="0"/>
        <v>0</v>
      </c>
    </row>
    <row r="30" spans="1:7">
      <c r="A30" s="360"/>
      <c r="B30" s="361" t="s">
        <v>1313</v>
      </c>
      <c r="C30" s="356"/>
      <c r="D30" s="301"/>
      <c r="E30" s="7"/>
      <c r="F30" s="302">
        <f t="shared" si="0"/>
        <v>0</v>
      </c>
    </row>
    <row r="31" spans="1:7" ht="38.25">
      <c r="A31" s="360"/>
      <c r="B31" s="361" t="s">
        <v>1422</v>
      </c>
      <c r="C31" s="356"/>
      <c r="D31" s="301"/>
      <c r="E31" s="7"/>
      <c r="F31" s="302">
        <f t="shared" si="0"/>
        <v>0</v>
      </c>
    </row>
    <row r="32" spans="1:7" ht="25.5">
      <c r="A32" s="360"/>
      <c r="B32" s="361" t="s">
        <v>1312</v>
      </c>
      <c r="C32" s="356"/>
      <c r="D32" s="301"/>
      <c r="E32" s="7"/>
      <c r="F32" s="302">
        <f t="shared" si="0"/>
        <v>0</v>
      </c>
    </row>
    <row r="33" spans="1:7">
      <c r="A33" s="360"/>
      <c r="B33" s="361" t="s">
        <v>83</v>
      </c>
      <c r="C33" s="356" t="s">
        <v>123</v>
      </c>
      <c r="D33" s="301">
        <v>1</v>
      </c>
      <c r="E33" s="7"/>
      <c r="F33" s="302">
        <f t="shared" si="0"/>
        <v>0</v>
      </c>
    </row>
    <row r="34" spans="1:7">
      <c r="A34" s="360"/>
      <c r="B34" s="361"/>
      <c r="C34" s="356"/>
      <c r="D34" s="301"/>
      <c r="E34" s="7"/>
      <c r="F34" s="302">
        <f t="shared" si="0"/>
        <v>0</v>
      </c>
    </row>
    <row r="35" spans="1:7" ht="22.5" customHeight="1">
      <c r="A35" s="357">
        <f>IF(B35&gt;0,MAX(A$9:A34)+1,"")</f>
        <v>5</v>
      </c>
      <c r="B35" s="358" t="s">
        <v>1934</v>
      </c>
      <c r="C35" s="356"/>
      <c r="D35" s="301"/>
      <c r="E35" s="7"/>
      <c r="F35" s="302">
        <f t="shared" si="0"/>
        <v>0</v>
      </c>
      <c r="G35" s="364"/>
    </row>
    <row r="36" spans="1:7" ht="102">
      <c r="A36" s="360"/>
      <c r="B36" s="361" t="s">
        <v>1932</v>
      </c>
      <c r="C36" s="356"/>
      <c r="D36" s="301"/>
      <c r="E36" s="7"/>
      <c r="F36" s="302">
        <f t="shared" si="0"/>
        <v>0</v>
      </c>
    </row>
    <row r="37" spans="1:7" ht="120" customHeight="1">
      <c r="A37" s="360"/>
      <c r="B37" s="361" t="s">
        <v>1933</v>
      </c>
      <c r="C37" s="356"/>
      <c r="D37" s="301"/>
      <c r="E37" s="7"/>
      <c r="F37" s="302">
        <f t="shared" si="0"/>
        <v>0</v>
      </c>
    </row>
    <row r="38" spans="1:7">
      <c r="A38" s="360"/>
      <c r="B38" s="361" t="s">
        <v>1851</v>
      </c>
      <c r="C38" s="356"/>
      <c r="D38" s="301"/>
      <c r="E38" s="7"/>
      <c r="F38" s="302">
        <f t="shared" si="0"/>
        <v>0</v>
      </c>
    </row>
    <row r="39" spans="1:7">
      <c r="A39" s="360"/>
      <c r="B39" s="361" t="s">
        <v>1852</v>
      </c>
      <c r="C39" s="356" t="s">
        <v>66</v>
      </c>
      <c r="D39" s="301">
        <v>30</v>
      </c>
      <c r="E39" s="7"/>
      <c r="F39" s="302">
        <f t="shared" si="0"/>
        <v>0</v>
      </c>
    </row>
    <row r="40" spans="1:7">
      <c r="A40" s="360"/>
      <c r="B40" s="361" t="s">
        <v>1853</v>
      </c>
      <c r="C40" s="356" t="s">
        <v>27</v>
      </c>
      <c r="D40" s="301">
        <v>500</v>
      </c>
      <c r="E40" s="7"/>
      <c r="F40" s="302">
        <f t="shared" si="0"/>
        <v>0</v>
      </c>
    </row>
    <row r="41" spans="1:7">
      <c r="A41" s="360"/>
      <c r="B41" s="361" t="s">
        <v>1854</v>
      </c>
      <c r="C41" s="356" t="s">
        <v>27</v>
      </c>
      <c r="D41" s="301">
        <v>500</v>
      </c>
      <c r="E41" s="7"/>
      <c r="F41" s="302">
        <f t="shared" si="0"/>
        <v>0</v>
      </c>
    </row>
    <row r="42" spans="1:7">
      <c r="A42" s="360"/>
      <c r="B42" s="361"/>
      <c r="C42" s="356"/>
      <c r="D42" s="301"/>
      <c r="E42" s="7"/>
      <c r="F42" s="302">
        <f t="shared" si="0"/>
        <v>0</v>
      </c>
    </row>
    <row r="43" spans="1:7" ht="22.5" customHeight="1">
      <c r="A43" s="357">
        <f>IF(B43&gt;0,MAX(A$9:A42)+1,"")</f>
        <v>6</v>
      </c>
      <c r="B43" s="358" t="s">
        <v>1935</v>
      </c>
      <c r="C43" s="356"/>
      <c r="D43" s="301"/>
      <c r="E43" s="7"/>
      <c r="F43" s="302">
        <f t="shared" si="0"/>
        <v>0</v>
      </c>
      <c r="G43" s="364"/>
    </row>
    <row r="44" spans="1:7" ht="102">
      <c r="A44" s="360"/>
      <c r="B44" s="361" t="s">
        <v>1932</v>
      </c>
      <c r="C44" s="356"/>
      <c r="D44" s="301"/>
      <c r="E44" s="7"/>
      <c r="F44" s="302">
        <f t="shared" si="0"/>
        <v>0</v>
      </c>
    </row>
    <row r="45" spans="1:7" ht="51">
      <c r="A45" s="360"/>
      <c r="B45" s="361" t="s">
        <v>1936</v>
      </c>
      <c r="C45" s="356"/>
      <c r="D45" s="301"/>
      <c r="E45" s="7"/>
      <c r="F45" s="302">
        <f t="shared" si="0"/>
        <v>0</v>
      </c>
    </row>
    <row r="46" spans="1:7">
      <c r="A46" s="360"/>
      <c r="B46" s="361" t="s">
        <v>1851</v>
      </c>
      <c r="C46" s="356"/>
      <c r="D46" s="301"/>
      <c r="E46" s="7"/>
      <c r="F46" s="302">
        <f t="shared" si="0"/>
        <v>0</v>
      </c>
    </row>
    <row r="47" spans="1:7">
      <c r="A47" s="360"/>
      <c r="B47" s="361" t="s">
        <v>1852</v>
      </c>
      <c r="C47" s="356" t="s">
        <v>66</v>
      </c>
      <c r="D47" s="301">
        <v>30</v>
      </c>
      <c r="E47" s="7"/>
      <c r="F47" s="302">
        <f t="shared" si="0"/>
        <v>0</v>
      </c>
    </row>
    <row r="48" spans="1:7">
      <c r="A48" s="360"/>
      <c r="B48" s="361" t="s">
        <v>1853</v>
      </c>
      <c r="C48" s="356" t="s">
        <v>27</v>
      </c>
      <c r="D48" s="301">
        <v>500</v>
      </c>
      <c r="E48" s="7"/>
      <c r="F48" s="302">
        <f t="shared" si="0"/>
        <v>0</v>
      </c>
    </row>
    <row r="49" spans="1:7">
      <c r="A49" s="360"/>
      <c r="B49" s="361" t="s">
        <v>1854</v>
      </c>
      <c r="C49" s="356" t="s">
        <v>27</v>
      </c>
      <c r="D49" s="301">
        <v>500</v>
      </c>
      <c r="E49" s="7"/>
      <c r="F49" s="302">
        <f t="shared" si="0"/>
        <v>0</v>
      </c>
    </row>
    <row r="50" spans="1:7">
      <c r="A50" s="360"/>
      <c r="B50" s="361"/>
      <c r="C50" s="356"/>
      <c r="D50" s="301"/>
      <c r="E50" s="7"/>
      <c r="F50" s="302">
        <f t="shared" si="0"/>
        <v>0</v>
      </c>
    </row>
    <row r="51" spans="1:7">
      <c r="A51" s="357">
        <f>IF(B51&gt;0,MAX(A$9:A45)+1,"")</f>
        <v>7</v>
      </c>
      <c r="B51" s="358" t="s">
        <v>1856</v>
      </c>
      <c r="C51" s="356"/>
      <c r="D51" s="301"/>
      <c r="E51" s="7"/>
      <c r="F51" s="302">
        <f t="shared" si="0"/>
        <v>0</v>
      </c>
      <c r="G51" s="364"/>
    </row>
    <row r="52" spans="1:7" ht="63.75">
      <c r="A52" s="360"/>
      <c r="B52" s="361" t="s">
        <v>1855</v>
      </c>
      <c r="C52" s="356"/>
      <c r="D52" s="301"/>
      <c r="E52" s="7"/>
      <c r="F52" s="302">
        <f t="shared" si="0"/>
        <v>0</v>
      </c>
    </row>
    <row r="53" spans="1:7">
      <c r="A53" s="360"/>
      <c r="B53" s="361" t="s">
        <v>1857</v>
      </c>
      <c r="C53" s="356"/>
      <c r="D53" s="301"/>
      <c r="E53" s="7"/>
      <c r="F53" s="302">
        <f t="shared" si="0"/>
        <v>0</v>
      </c>
    </row>
    <row r="54" spans="1:7">
      <c r="A54" s="360"/>
      <c r="B54" s="361" t="s">
        <v>1858</v>
      </c>
      <c r="C54" s="356" t="s">
        <v>27</v>
      </c>
      <c r="D54" s="301">
        <v>300</v>
      </c>
      <c r="E54" s="7"/>
      <c r="F54" s="302">
        <f t="shared" si="0"/>
        <v>0</v>
      </c>
    </row>
    <row r="55" spans="1:7">
      <c r="A55" s="360"/>
      <c r="B55" s="361" t="s">
        <v>1859</v>
      </c>
      <c r="C55" s="356" t="s">
        <v>27</v>
      </c>
      <c r="D55" s="301">
        <v>300</v>
      </c>
      <c r="E55" s="7"/>
      <c r="F55" s="302">
        <f t="shared" si="0"/>
        <v>0</v>
      </c>
    </row>
    <row r="56" spans="1:7">
      <c r="A56" s="360"/>
      <c r="B56" s="361"/>
      <c r="C56" s="356"/>
      <c r="D56" s="301"/>
      <c r="E56" s="7"/>
      <c r="F56" s="302">
        <f t="shared" si="0"/>
        <v>0</v>
      </c>
    </row>
    <row r="57" spans="1:7">
      <c r="A57" s="357">
        <f>IF(B57&gt;0,MAX(A$9:A51)+1,"")</f>
        <v>8</v>
      </c>
      <c r="B57" s="358" t="s">
        <v>5608</v>
      </c>
      <c r="C57" s="356"/>
      <c r="D57" s="301"/>
      <c r="E57" s="7"/>
      <c r="F57" s="302">
        <f t="shared" si="0"/>
        <v>0</v>
      </c>
    </row>
    <row r="58" spans="1:7" ht="51">
      <c r="A58" s="360"/>
      <c r="B58" s="361" t="s">
        <v>5609</v>
      </c>
      <c r="C58" s="356"/>
      <c r="D58" s="301"/>
      <c r="E58" s="7"/>
      <c r="F58" s="302">
        <f t="shared" si="0"/>
        <v>0</v>
      </c>
    </row>
    <row r="59" spans="1:7">
      <c r="A59" s="360"/>
      <c r="B59" s="361" t="s">
        <v>258</v>
      </c>
      <c r="C59" s="356" t="s">
        <v>123</v>
      </c>
      <c r="D59" s="301">
        <v>1</v>
      </c>
      <c r="E59" s="7"/>
      <c r="F59" s="302">
        <f t="shared" si="0"/>
        <v>0</v>
      </c>
    </row>
    <row r="60" spans="1:7">
      <c r="A60" s="360"/>
      <c r="B60" s="361"/>
      <c r="C60" s="356"/>
      <c r="D60" s="301"/>
      <c r="E60" s="7"/>
      <c r="F60" s="302">
        <f t="shared" si="0"/>
        <v>0</v>
      </c>
    </row>
    <row r="61" spans="1:7">
      <c r="A61" s="357">
        <f>IF(B61&gt;0,MAX(A$9:A60)+1,"")</f>
        <v>9</v>
      </c>
      <c r="B61" s="358" t="s">
        <v>92</v>
      </c>
      <c r="C61" s="356"/>
      <c r="D61" s="301"/>
      <c r="E61" s="10"/>
      <c r="F61" s="302">
        <f t="shared" si="0"/>
        <v>0</v>
      </c>
    </row>
    <row r="62" spans="1:7" ht="38.25">
      <c r="A62" s="336"/>
      <c r="B62" s="361" t="s">
        <v>1937</v>
      </c>
      <c r="C62" s="356"/>
      <c r="D62" s="301"/>
      <c r="E62" s="10"/>
      <c r="F62" s="302">
        <f t="shared" si="0"/>
        <v>0</v>
      </c>
    </row>
    <row r="63" spans="1:7">
      <c r="A63" s="362"/>
      <c r="B63" s="361" t="s">
        <v>91</v>
      </c>
      <c r="C63" s="356" t="s">
        <v>26</v>
      </c>
      <c r="D63" s="301">
        <v>77</v>
      </c>
      <c r="E63" s="10"/>
      <c r="F63" s="302">
        <f t="shared" si="0"/>
        <v>0</v>
      </c>
    </row>
    <row r="64" spans="1:7">
      <c r="A64" s="336"/>
      <c r="B64" s="356"/>
      <c r="C64" s="356"/>
      <c r="D64" s="301"/>
      <c r="E64" s="10"/>
      <c r="F64" s="302">
        <f t="shared" si="0"/>
        <v>0</v>
      </c>
    </row>
    <row r="65" spans="1:7">
      <c r="A65" s="357">
        <f>IF(B65&gt;0,MAX(A$9:A64)+1,"")</f>
        <v>10</v>
      </c>
      <c r="B65" s="358" t="s">
        <v>90</v>
      </c>
      <c r="C65" s="356"/>
      <c r="D65" s="301"/>
      <c r="E65" s="10"/>
      <c r="F65" s="302">
        <f t="shared" si="0"/>
        <v>0</v>
      </c>
    </row>
    <row r="66" spans="1:7" ht="38.25">
      <c r="A66" s="336"/>
      <c r="B66" s="361" t="s">
        <v>89</v>
      </c>
      <c r="C66" s="356"/>
      <c r="D66" s="301"/>
      <c r="E66" s="10"/>
      <c r="F66" s="302">
        <f t="shared" si="0"/>
        <v>0</v>
      </c>
    </row>
    <row r="67" spans="1:7">
      <c r="A67" s="365"/>
      <c r="B67" s="361" t="s">
        <v>237</v>
      </c>
      <c r="C67" s="356" t="s">
        <v>27</v>
      </c>
      <c r="D67" s="301">
        <v>2400</v>
      </c>
      <c r="E67" s="10"/>
      <c r="F67" s="302">
        <f t="shared" si="0"/>
        <v>0</v>
      </c>
    </row>
    <row r="68" spans="1:7">
      <c r="A68" s="362"/>
      <c r="B68" s="356"/>
      <c r="C68" s="356"/>
      <c r="D68" s="301"/>
      <c r="E68" s="10"/>
      <c r="F68" s="302">
        <f t="shared" si="0"/>
        <v>0</v>
      </c>
    </row>
    <row r="69" spans="1:7">
      <c r="A69" s="357">
        <f>IF(B69&gt;0,MAX(A$9:A68)+1,"")</f>
        <v>11</v>
      </c>
      <c r="B69" s="358" t="s">
        <v>1860</v>
      </c>
      <c r="C69" s="356"/>
      <c r="D69" s="301"/>
      <c r="E69" s="10"/>
      <c r="F69" s="302">
        <f t="shared" si="0"/>
        <v>0</v>
      </c>
    </row>
    <row r="70" spans="1:7" ht="38.25">
      <c r="A70" s="362"/>
      <c r="B70" s="361" t="s">
        <v>1861</v>
      </c>
      <c r="C70" s="356"/>
      <c r="D70" s="301"/>
      <c r="E70" s="10"/>
      <c r="F70" s="302">
        <f t="shared" si="0"/>
        <v>0</v>
      </c>
    </row>
    <row r="71" spans="1:7">
      <c r="A71" s="362"/>
      <c r="B71" s="361" t="s">
        <v>1843</v>
      </c>
      <c r="C71" s="356" t="s">
        <v>123</v>
      </c>
      <c r="D71" s="301">
        <v>1</v>
      </c>
      <c r="E71" s="10"/>
      <c r="F71" s="302">
        <f t="shared" si="0"/>
        <v>0</v>
      </c>
    </row>
    <row r="72" spans="1:7">
      <c r="A72" s="362"/>
      <c r="B72" s="361"/>
      <c r="C72" s="356"/>
      <c r="D72" s="301"/>
      <c r="E72" s="10"/>
      <c r="F72" s="302">
        <f t="shared" si="0"/>
        <v>0</v>
      </c>
    </row>
    <row r="73" spans="1:7">
      <c r="A73" s="357">
        <f>IF(B73&gt;0,MAX(A$9:A72)+1,"")</f>
        <v>12</v>
      </c>
      <c r="B73" s="358" t="s">
        <v>1927</v>
      </c>
      <c r="C73" s="356"/>
      <c r="D73" s="301"/>
      <c r="E73" s="10"/>
      <c r="F73" s="302">
        <f t="shared" si="0"/>
        <v>0</v>
      </c>
      <c r="G73" s="364"/>
    </row>
    <row r="74" spans="1:7" ht="280.5">
      <c r="A74" s="362"/>
      <c r="B74" s="361" t="s">
        <v>1928</v>
      </c>
      <c r="C74" s="356"/>
      <c r="D74" s="301"/>
      <c r="E74" s="10"/>
      <c r="F74" s="302">
        <f t="shared" si="0"/>
        <v>0</v>
      </c>
    </row>
    <row r="75" spans="1:7" ht="191.25" customHeight="1">
      <c r="A75" s="362"/>
      <c r="B75" s="366" t="s">
        <v>1929</v>
      </c>
      <c r="C75" s="356"/>
      <c r="D75" s="301"/>
      <c r="E75" s="10"/>
      <c r="F75" s="302">
        <f t="shared" si="0"/>
        <v>0</v>
      </c>
    </row>
    <row r="76" spans="1:7">
      <c r="A76" s="362"/>
      <c r="B76" s="361" t="s">
        <v>1930</v>
      </c>
      <c r="C76" s="356" t="s">
        <v>583</v>
      </c>
      <c r="D76" s="301">
        <v>1</v>
      </c>
      <c r="E76" s="10"/>
      <c r="F76" s="302">
        <f t="shared" si="0"/>
        <v>0</v>
      </c>
    </row>
    <row r="77" spans="1:7">
      <c r="A77" s="362"/>
      <c r="B77" s="361"/>
      <c r="C77" s="356"/>
      <c r="D77" s="301"/>
      <c r="E77" s="10"/>
      <c r="F77" s="302">
        <f t="shared" si="0"/>
        <v>0</v>
      </c>
    </row>
    <row r="78" spans="1:7">
      <c r="A78" s="357">
        <f>IF(B78&gt;0,MAX(A$9:A77)+1,"")</f>
        <v>13</v>
      </c>
      <c r="B78" s="358" t="s">
        <v>1940</v>
      </c>
      <c r="C78" s="356"/>
      <c r="D78" s="301"/>
      <c r="E78" s="10"/>
      <c r="F78" s="302">
        <f t="shared" si="0"/>
        <v>0</v>
      </c>
      <c r="G78" s="364"/>
    </row>
    <row r="79" spans="1:7" ht="25.5">
      <c r="A79" s="362"/>
      <c r="B79" s="361" t="s">
        <v>2014</v>
      </c>
      <c r="C79" s="356"/>
      <c r="D79" s="301"/>
      <c r="E79" s="10"/>
      <c r="F79" s="302">
        <f t="shared" si="0"/>
        <v>0</v>
      </c>
    </row>
    <row r="80" spans="1:7">
      <c r="A80" s="362"/>
      <c r="B80" s="361" t="s">
        <v>1843</v>
      </c>
      <c r="C80" s="356" t="s">
        <v>123</v>
      </c>
      <c r="D80" s="301">
        <v>1</v>
      </c>
      <c r="E80" s="10"/>
      <c r="F80" s="302">
        <f t="shared" si="0"/>
        <v>0</v>
      </c>
    </row>
    <row r="81" spans="1:7">
      <c r="A81" s="362"/>
      <c r="B81" s="361"/>
      <c r="C81" s="356"/>
      <c r="D81" s="301"/>
      <c r="E81" s="10"/>
      <c r="F81" s="302"/>
    </row>
    <row r="82" spans="1:7">
      <c r="A82" s="289" t="s">
        <v>24</v>
      </c>
      <c r="B82" s="290" t="s">
        <v>22</v>
      </c>
      <c r="C82" s="341"/>
      <c r="D82" s="342"/>
      <c r="E82" s="351"/>
      <c r="F82" s="343">
        <f>SUM(F12:F81)</f>
        <v>0</v>
      </c>
    </row>
    <row r="83" spans="1:7">
      <c r="A83" s="367"/>
      <c r="B83" s="368"/>
      <c r="C83" s="368"/>
      <c r="D83" s="287"/>
      <c r="E83" s="13"/>
      <c r="F83" s="288"/>
    </row>
    <row r="84" spans="1:7">
      <c r="A84" s="289" t="s">
        <v>23</v>
      </c>
      <c r="B84" s="369" t="s">
        <v>88</v>
      </c>
      <c r="C84" s="370"/>
      <c r="D84" s="371"/>
      <c r="E84" s="515"/>
      <c r="F84" s="372"/>
    </row>
    <row r="85" spans="1:7">
      <c r="A85" s="336"/>
    </row>
    <row r="86" spans="1:7" s="325" customFormat="1">
      <c r="A86" s="373">
        <v>1</v>
      </c>
      <c r="B86" s="374" t="s">
        <v>1911</v>
      </c>
      <c r="C86" s="375"/>
      <c r="D86" s="376"/>
      <c r="E86" s="46"/>
      <c r="F86" s="377"/>
    </row>
    <row r="87" spans="1:7" s="382" customFormat="1" ht="102">
      <c r="A87" s="378"/>
      <c r="B87" s="330" t="s">
        <v>1913</v>
      </c>
      <c r="C87" s="379"/>
      <c r="D87" s="380"/>
      <c r="E87" s="47"/>
      <c r="F87" s="381"/>
    </row>
    <row r="88" spans="1:7" s="382" customFormat="1" ht="12.75">
      <c r="A88" s="378"/>
      <c r="B88" s="330" t="s">
        <v>1465</v>
      </c>
      <c r="C88" s="379" t="s">
        <v>66</v>
      </c>
      <c r="D88" s="380">
        <f>20+6.2</f>
        <v>26.2</v>
      </c>
      <c r="E88" s="47"/>
      <c r="F88" s="381">
        <f>D88*E88</f>
        <v>0</v>
      </c>
      <c r="G88" s="383"/>
    </row>
    <row r="89" spans="1:7" s="382" customFormat="1" ht="12.75">
      <c r="A89" s="378"/>
      <c r="B89" s="330"/>
      <c r="C89" s="330"/>
      <c r="D89" s="380"/>
      <c r="E89" s="47"/>
      <c r="F89" s="381">
        <f t="shared" ref="F89:F120" si="1">D89*E89</f>
        <v>0</v>
      </c>
    </row>
    <row r="90" spans="1:7" s="325" customFormat="1">
      <c r="A90" s="373">
        <f>IF(B90&gt;0,MAX(A82:A89)+1,"")</f>
        <v>2</v>
      </c>
      <c r="B90" s="374" t="s">
        <v>1912</v>
      </c>
      <c r="C90" s="375"/>
      <c r="D90" s="376"/>
      <c r="E90" s="46"/>
      <c r="F90" s="381">
        <f t="shared" si="1"/>
        <v>0</v>
      </c>
    </row>
    <row r="91" spans="1:7" s="382" customFormat="1" ht="89.25">
      <c r="A91" s="378"/>
      <c r="B91" s="330" t="s">
        <v>1914</v>
      </c>
      <c r="C91" s="379"/>
      <c r="D91" s="380"/>
      <c r="E91" s="47"/>
      <c r="F91" s="381">
        <f t="shared" si="1"/>
        <v>0</v>
      </c>
    </row>
    <row r="92" spans="1:7" s="382" customFormat="1" ht="12.75">
      <c r="A92" s="378"/>
      <c r="B92" s="330" t="s">
        <v>1465</v>
      </c>
      <c r="C92" s="379" t="s">
        <v>66</v>
      </c>
      <c r="D92" s="380">
        <v>97.4</v>
      </c>
      <c r="E92" s="47"/>
      <c r="F92" s="381">
        <f t="shared" si="1"/>
        <v>0</v>
      </c>
      <c r="G92" s="383"/>
    </row>
    <row r="93" spans="1:7" s="382" customFormat="1" ht="12.75">
      <c r="A93" s="378"/>
      <c r="B93" s="330"/>
      <c r="C93" s="379"/>
      <c r="D93" s="380"/>
      <c r="E93" s="47"/>
      <c r="F93" s="381">
        <f t="shared" si="1"/>
        <v>0</v>
      </c>
      <c r="G93" s="383"/>
    </row>
    <row r="94" spans="1:7" s="382" customFormat="1">
      <c r="A94" s="373">
        <f>IF(B94&gt;0,MAX(A86:A93)+1,"")</f>
        <v>3</v>
      </c>
      <c r="B94" s="374" t="s">
        <v>1467</v>
      </c>
      <c r="C94" s="379"/>
      <c r="D94" s="380"/>
      <c r="E94" s="47"/>
      <c r="F94" s="381">
        <f t="shared" si="1"/>
        <v>0</v>
      </c>
    </row>
    <row r="95" spans="1:7" s="382" customFormat="1" ht="89.25">
      <c r="A95" s="378"/>
      <c r="B95" s="330" t="s">
        <v>1466</v>
      </c>
      <c r="C95" s="379"/>
      <c r="D95" s="380"/>
      <c r="E95" s="47"/>
      <c r="F95" s="381">
        <f t="shared" si="1"/>
        <v>0</v>
      </c>
    </row>
    <row r="96" spans="1:7" s="382" customFormat="1" ht="12.75">
      <c r="A96" s="378"/>
      <c r="B96" s="330" t="s">
        <v>1465</v>
      </c>
      <c r="C96" s="379" t="s">
        <v>66</v>
      </c>
      <c r="D96" s="380">
        <v>90</v>
      </c>
      <c r="E96" s="47"/>
      <c r="F96" s="381">
        <f t="shared" si="1"/>
        <v>0</v>
      </c>
    </row>
    <row r="97" spans="1:7" s="382" customFormat="1" ht="12.75">
      <c r="A97" s="378"/>
      <c r="B97" s="330"/>
      <c r="C97" s="330"/>
      <c r="D97" s="380"/>
      <c r="E97" s="47"/>
      <c r="F97" s="381">
        <f t="shared" si="1"/>
        <v>0</v>
      </c>
    </row>
    <row r="98" spans="1:7" s="382" customFormat="1">
      <c r="A98" s="373">
        <f>IF(B98&gt;0,MAX(A$89:A97)+1,"")</f>
        <v>4</v>
      </c>
      <c r="B98" s="374" t="s">
        <v>87</v>
      </c>
      <c r="C98" s="379"/>
      <c r="D98" s="380"/>
      <c r="E98" s="47"/>
      <c r="F98" s="381">
        <f t="shared" si="1"/>
        <v>0</v>
      </c>
    </row>
    <row r="99" spans="1:7" s="382" customFormat="1" ht="38.25">
      <c r="A99" s="378"/>
      <c r="B99" s="330" t="s">
        <v>1469</v>
      </c>
      <c r="C99" s="379"/>
      <c r="D99" s="380"/>
      <c r="E99" s="47"/>
      <c r="F99" s="381">
        <f t="shared" si="1"/>
        <v>0</v>
      </c>
    </row>
    <row r="100" spans="1:7" s="382" customFormat="1" ht="12.75">
      <c r="A100" s="378"/>
      <c r="B100" s="330" t="s">
        <v>1470</v>
      </c>
      <c r="C100" s="379" t="s">
        <v>27</v>
      </c>
      <c r="D100" s="380">
        <v>290.10000000000002</v>
      </c>
      <c r="E100" s="47"/>
      <c r="F100" s="381">
        <f t="shared" si="1"/>
        <v>0</v>
      </c>
      <c r="G100" s="384"/>
    </row>
    <row r="101" spans="1:7" s="382" customFormat="1" ht="12.75">
      <c r="A101" s="378"/>
      <c r="B101" s="330"/>
      <c r="C101" s="379"/>
      <c r="D101" s="380"/>
      <c r="E101" s="47"/>
      <c r="F101" s="381">
        <f t="shared" si="1"/>
        <v>0</v>
      </c>
    </row>
    <row r="102" spans="1:7" s="382" customFormat="1">
      <c r="A102" s="373">
        <f>IF(B102&gt;0,MAX(A$89:A98)+1,"")</f>
        <v>5</v>
      </c>
      <c r="B102" s="374" t="s">
        <v>1468</v>
      </c>
      <c r="C102" s="379"/>
      <c r="D102" s="380"/>
      <c r="E102" s="47"/>
      <c r="F102" s="381">
        <f t="shared" si="1"/>
        <v>0</v>
      </c>
    </row>
    <row r="103" spans="1:7" s="382" customFormat="1" ht="174.75" customHeight="1">
      <c r="A103" s="378"/>
      <c r="B103" s="385" t="s">
        <v>1472</v>
      </c>
      <c r="C103" s="379"/>
      <c r="D103" s="380"/>
      <c r="E103" s="47"/>
      <c r="F103" s="381">
        <f t="shared" si="1"/>
        <v>0</v>
      </c>
    </row>
    <row r="104" spans="1:7" s="382" customFormat="1" ht="12.75">
      <c r="A104" s="378"/>
      <c r="B104" s="330" t="s">
        <v>257</v>
      </c>
      <c r="C104" s="379" t="s">
        <v>66</v>
      </c>
      <c r="D104" s="380">
        <v>30</v>
      </c>
      <c r="E104" s="47"/>
      <c r="F104" s="381">
        <f t="shared" si="1"/>
        <v>0</v>
      </c>
    </row>
    <row r="105" spans="1:7" s="382" customFormat="1" ht="12.75">
      <c r="A105" s="378"/>
      <c r="B105" s="330"/>
      <c r="C105" s="379"/>
      <c r="D105" s="380"/>
      <c r="E105" s="47"/>
      <c r="F105" s="381">
        <f t="shared" si="1"/>
        <v>0</v>
      </c>
    </row>
    <row r="106" spans="1:7" s="278" customFormat="1">
      <c r="A106" s="373">
        <f>IF(B106&gt;0,MAX(A$89:A105)+1,"")</f>
        <v>6</v>
      </c>
      <c r="B106" s="386" t="s">
        <v>196</v>
      </c>
      <c r="C106" s="317"/>
      <c r="D106" s="301"/>
      <c r="E106" s="45"/>
      <c r="F106" s="381">
        <f t="shared" si="1"/>
        <v>0</v>
      </c>
      <c r="G106" s="339"/>
    </row>
    <row r="107" spans="1:7" s="278" customFormat="1" ht="38.25">
      <c r="A107" s="387"/>
      <c r="B107" s="312" t="s">
        <v>278</v>
      </c>
      <c r="C107" s="317"/>
      <c r="D107" s="301"/>
      <c r="E107" s="45"/>
      <c r="F107" s="381">
        <f t="shared" si="1"/>
        <v>0</v>
      </c>
      <c r="G107" s="339"/>
    </row>
    <row r="108" spans="1:7" s="278" customFormat="1">
      <c r="A108" s="387"/>
      <c r="B108" s="312" t="s">
        <v>215</v>
      </c>
      <c r="C108" s="317"/>
      <c r="D108" s="301"/>
      <c r="E108" s="45"/>
      <c r="F108" s="381">
        <f t="shared" si="1"/>
        <v>0</v>
      </c>
      <c r="G108" s="339"/>
    </row>
    <row r="109" spans="1:7" s="278" customFormat="1">
      <c r="A109" s="336"/>
      <c r="B109" s="312" t="s">
        <v>291</v>
      </c>
      <c r="C109" s="317"/>
      <c r="D109" s="301"/>
      <c r="E109" s="45"/>
      <c r="F109" s="381">
        <f t="shared" si="1"/>
        <v>0</v>
      </c>
      <c r="G109" s="339"/>
    </row>
    <row r="110" spans="1:7" s="278" customFormat="1">
      <c r="A110" s="387"/>
      <c r="B110" s="312" t="s">
        <v>214</v>
      </c>
      <c r="C110" s="317" t="s">
        <v>27</v>
      </c>
      <c r="D110" s="301">
        <f>19.3+253.8+17</f>
        <v>290.10000000000002</v>
      </c>
      <c r="E110" s="45"/>
      <c r="F110" s="381">
        <f t="shared" si="1"/>
        <v>0</v>
      </c>
      <c r="G110" s="339"/>
    </row>
    <row r="111" spans="1:7" s="278" customFormat="1">
      <c r="A111" s="336"/>
      <c r="B111" s="317"/>
      <c r="C111" s="317"/>
      <c r="D111" s="301"/>
      <c r="E111" s="45"/>
      <c r="F111" s="381">
        <f t="shared" si="1"/>
        <v>0</v>
      </c>
      <c r="G111" s="339"/>
    </row>
    <row r="112" spans="1:7" s="278" customFormat="1">
      <c r="A112" s="373">
        <f>IF(B112&gt;0,MAX(A$89:A108)+1,"")</f>
        <v>7</v>
      </c>
      <c r="B112" s="386" t="s">
        <v>193</v>
      </c>
      <c r="C112" s="317"/>
      <c r="D112" s="301"/>
      <c r="E112" s="45"/>
      <c r="F112" s="381">
        <f t="shared" si="1"/>
        <v>0</v>
      </c>
      <c r="G112" s="359"/>
    </row>
    <row r="113" spans="1:7" s="278" customFormat="1" ht="178.9" customHeight="1">
      <c r="A113" s="336"/>
      <c r="B113" s="312" t="s">
        <v>280</v>
      </c>
      <c r="C113" s="317"/>
      <c r="D113" s="301"/>
      <c r="E113" s="45"/>
      <c r="F113" s="381">
        <f t="shared" si="1"/>
        <v>0</v>
      </c>
      <c r="G113" s="339"/>
    </row>
    <row r="114" spans="1:7" s="278" customFormat="1">
      <c r="A114" s="336"/>
      <c r="B114" s="312" t="s">
        <v>291</v>
      </c>
      <c r="C114" s="317"/>
      <c r="D114" s="301"/>
      <c r="E114" s="45"/>
      <c r="F114" s="381">
        <f t="shared" si="1"/>
        <v>0</v>
      </c>
      <c r="G114" s="339"/>
    </row>
    <row r="115" spans="1:7" s="278" customFormat="1">
      <c r="A115" s="336"/>
      <c r="B115" s="361" t="s">
        <v>86</v>
      </c>
      <c r="C115" s="300" t="s">
        <v>66</v>
      </c>
      <c r="D115" s="301">
        <f>3.9+50.8+3.4</f>
        <v>58.1</v>
      </c>
      <c r="E115" s="45"/>
      <c r="F115" s="381">
        <f t="shared" si="1"/>
        <v>0</v>
      </c>
      <c r="G115" s="339"/>
    </row>
    <row r="116" spans="1:7" s="278" customFormat="1">
      <c r="A116" s="336"/>
      <c r="B116" s="361"/>
      <c r="C116" s="300"/>
      <c r="D116" s="301"/>
      <c r="E116" s="45"/>
      <c r="F116" s="381">
        <f t="shared" si="1"/>
        <v>0</v>
      </c>
      <c r="G116" s="339"/>
    </row>
    <row r="117" spans="1:7" s="278" customFormat="1">
      <c r="A117" s="373">
        <f>IF(B117&gt;0,MAX(A$89:A113)+1,"")</f>
        <v>8</v>
      </c>
      <c r="B117" s="386" t="s">
        <v>85</v>
      </c>
      <c r="C117" s="317"/>
      <c r="D117" s="318"/>
      <c r="E117" s="45"/>
      <c r="F117" s="381">
        <f t="shared" si="1"/>
        <v>0</v>
      </c>
      <c r="G117" s="339"/>
    </row>
    <row r="118" spans="1:7" s="278" customFormat="1" ht="89.25">
      <c r="A118" s="336"/>
      <c r="B118" s="361" t="s">
        <v>1471</v>
      </c>
      <c r="C118" s="317"/>
      <c r="D118" s="318"/>
      <c r="E118" s="45"/>
      <c r="F118" s="381">
        <f t="shared" si="1"/>
        <v>0</v>
      </c>
      <c r="G118" s="339"/>
    </row>
    <row r="119" spans="1:7" s="278" customFormat="1" ht="25.5">
      <c r="A119" s="336"/>
      <c r="B119" s="361" t="s">
        <v>84</v>
      </c>
      <c r="C119" s="317"/>
      <c r="D119" s="318"/>
      <c r="E119" s="45"/>
      <c r="F119" s="381">
        <f t="shared" si="1"/>
        <v>0</v>
      </c>
      <c r="G119" s="339"/>
    </row>
    <row r="120" spans="1:7" s="278" customFormat="1">
      <c r="A120" s="336"/>
      <c r="B120" s="361" t="s">
        <v>83</v>
      </c>
      <c r="C120" s="388" t="s">
        <v>82</v>
      </c>
      <c r="D120" s="301">
        <v>1</v>
      </c>
      <c r="E120" s="10"/>
      <c r="F120" s="381">
        <f t="shared" si="1"/>
        <v>0</v>
      </c>
      <c r="G120" s="339"/>
    </row>
    <row r="121" spans="1:7" s="278" customFormat="1">
      <c r="A121" s="365"/>
      <c r="B121" s="356"/>
      <c r="C121" s="388"/>
      <c r="D121" s="301"/>
      <c r="E121" s="10"/>
      <c r="F121" s="302">
        <f t="shared" ref="F121" si="2">E121*D121</f>
        <v>0</v>
      </c>
      <c r="G121" s="354"/>
    </row>
    <row r="122" spans="1:7" s="278" customFormat="1">
      <c r="A122" s="289" t="s">
        <v>23</v>
      </c>
      <c r="B122" s="369" t="s">
        <v>20</v>
      </c>
      <c r="C122" s="341"/>
      <c r="D122" s="342"/>
      <c r="E122" s="351"/>
      <c r="F122" s="389">
        <f>SUM(F87:F121)</f>
        <v>0</v>
      </c>
      <c r="G122" s="354"/>
    </row>
    <row r="123" spans="1:7" s="278" customFormat="1">
      <c r="A123" s="284"/>
      <c r="B123" s="298"/>
      <c r="C123" s="286"/>
      <c r="D123" s="287"/>
      <c r="E123" s="45"/>
      <c r="F123" s="390"/>
      <c r="G123" s="339"/>
    </row>
    <row r="124" spans="1:7" s="278" customFormat="1">
      <c r="A124" s="289" t="s">
        <v>21</v>
      </c>
      <c r="B124" s="369" t="s">
        <v>81</v>
      </c>
      <c r="C124" s="291"/>
      <c r="D124" s="342"/>
      <c r="E124" s="349"/>
      <c r="F124" s="293"/>
      <c r="G124" s="339"/>
    </row>
    <row r="125" spans="1:7" s="278" customFormat="1">
      <c r="A125" s="336"/>
      <c r="B125" s="317"/>
      <c r="C125" s="317"/>
      <c r="D125" s="318"/>
      <c r="E125" s="45"/>
      <c r="F125" s="338">
        <f>ROUND(+D125*E125,2)</f>
        <v>0</v>
      </c>
      <c r="G125" s="339"/>
    </row>
    <row r="126" spans="1:7" s="278" customFormat="1">
      <c r="A126" s="336"/>
      <c r="B126" s="386" t="s">
        <v>80</v>
      </c>
      <c r="C126" s="317"/>
      <c r="D126" s="318"/>
      <c r="E126" s="45"/>
      <c r="F126" s="338">
        <f>ROUND(+D126*E126,2)</f>
        <v>0</v>
      </c>
      <c r="G126" s="339"/>
    </row>
    <row r="127" spans="1:7" s="278" customFormat="1">
      <c r="A127" s="336"/>
      <c r="B127" s="386"/>
      <c r="C127" s="317"/>
      <c r="D127" s="318"/>
      <c r="E127" s="45"/>
      <c r="F127" s="338"/>
      <c r="G127" s="339"/>
    </row>
    <row r="128" spans="1:7" s="278" customFormat="1">
      <c r="A128" s="391">
        <v>1</v>
      </c>
      <c r="B128" s="392" t="s">
        <v>292</v>
      </c>
      <c r="C128" s="317"/>
      <c r="D128" s="318"/>
      <c r="E128" s="45"/>
      <c r="F128" s="338">
        <f>ROUND(+D128*E128,2)</f>
        <v>0</v>
      </c>
      <c r="G128" s="339"/>
    </row>
    <row r="129" spans="1:7" s="278" customFormat="1" ht="39">
      <c r="A129" s="336"/>
      <c r="B129" s="304" t="s">
        <v>210</v>
      </c>
      <c r="C129" s="317"/>
      <c r="D129" s="318"/>
      <c r="E129" s="45"/>
      <c r="F129" s="338">
        <f>ROUND(+D129*E129,2)</f>
        <v>0</v>
      </c>
      <c r="G129" s="339"/>
    </row>
    <row r="130" spans="1:7" s="278" customFormat="1">
      <c r="A130" s="336"/>
      <c r="B130" s="304" t="s">
        <v>79</v>
      </c>
      <c r="C130" s="317"/>
      <c r="D130" s="318"/>
      <c r="E130" s="45"/>
      <c r="F130" s="338"/>
      <c r="G130" s="339"/>
    </row>
    <row r="131" spans="1:7" s="278" customFormat="1">
      <c r="A131" s="336"/>
      <c r="B131" s="312" t="s">
        <v>291</v>
      </c>
      <c r="C131" s="317"/>
      <c r="D131" s="318"/>
      <c r="E131" s="45"/>
      <c r="F131" s="338"/>
      <c r="G131" s="339"/>
    </row>
    <row r="132" spans="1:7" s="278" customFormat="1">
      <c r="A132" s="336"/>
      <c r="B132" s="322" t="s">
        <v>78</v>
      </c>
      <c r="C132" s="317"/>
      <c r="D132" s="318"/>
      <c r="E132" s="45"/>
      <c r="F132" s="338">
        <f>ROUND(+D132*E132,2)</f>
        <v>0</v>
      </c>
      <c r="G132" s="339"/>
    </row>
    <row r="133" spans="1:7" s="278" customFormat="1">
      <c r="A133" s="336"/>
      <c r="B133" s="322" t="s">
        <v>75</v>
      </c>
      <c r="C133" s="286" t="s">
        <v>27</v>
      </c>
      <c r="D133" s="301">
        <f>19.3+253.8+17</f>
        <v>290.10000000000002</v>
      </c>
      <c r="E133" s="45"/>
      <c r="F133" s="302">
        <f>E133*D133</f>
        <v>0</v>
      </c>
      <c r="G133" s="339"/>
    </row>
    <row r="134" spans="1:7" s="278" customFormat="1">
      <c r="A134" s="336"/>
      <c r="B134" s="322"/>
      <c r="C134" s="286"/>
      <c r="D134" s="393"/>
      <c r="E134" s="45"/>
      <c r="F134" s="302">
        <f t="shared" ref="F134:F201" si="3">E134*D134</f>
        <v>0</v>
      </c>
      <c r="G134" s="339"/>
    </row>
    <row r="135" spans="1:7" s="278" customFormat="1">
      <c r="A135" s="391">
        <f>IF(B135&gt;0,MAX(A128:A$134)+1,"")</f>
        <v>2</v>
      </c>
      <c r="B135" s="386" t="s">
        <v>374</v>
      </c>
      <c r="C135" s="317"/>
      <c r="D135" s="318"/>
      <c r="E135" s="45"/>
      <c r="F135" s="302">
        <f t="shared" si="3"/>
        <v>0</v>
      </c>
      <c r="G135" s="339"/>
    </row>
    <row r="136" spans="1:7" s="278" customFormat="1" ht="60" customHeight="1">
      <c r="A136" s="336"/>
      <c r="B136" s="304" t="s">
        <v>375</v>
      </c>
      <c r="C136" s="317"/>
      <c r="D136" s="318"/>
      <c r="E136" s="45"/>
      <c r="F136" s="302">
        <f t="shared" si="3"/>
        <v>0</v>
      </c>
      <c r="G136" s="339"/>
    </row>
    <row r="137" spans="1:7" s="278" customFormat="1">
      <c r="A137" s="336"/>
      <c r="B137" s="304" t="s">
        <v>79</v>
      </c>
      <c r="C137" s="317"/>
      <c r="D137" s="318"/>
      <c r="E137" s="45"/>
      <c r="F137" s="302">
        <f t="shared" si="3"/>
        <v>0</v>
      </c>
      <c r="G137" s="339"/>
    </row>
    <row r="138" spans="1:7" s="278" customFormat="1">
      <c r="A138" s="336"/>
      <c r="B138" s="304" t="s">
        <v>373</v>
      </c>
      <c r="C138" s="317"/>
      <c r="D138" s="318"/>
      <c r="E138" s="45"/>
      <c r="F138" s="302">
        <f t="shared" si="3"/>
        <v>0</v>
      </c>
      <c r="G138" s="339"/>
    </row>
    <row r="139" spans="1:7" s="278" customFormat="1">
      <c r="A139" s="336"/>
      <c r="B139" s="322" t="s">
        <v>78</v>
      </c>
      <c r="C139" s="317"/>
      <c r="D139" s="318"/>
      <c r="E139" s="45"/>
      <c r="F139" s="302">
        <f t="shared" si="3"/>
        <v>0</v>
      </c>
      <c r="G139" s="339"/>
    </row>
    <row r="140" spans="1:7" s="278" customFormat="1">
      <c r="A140" s="336"/>
      <c r="B140" s="322" t="s">
        <v>75</v>
      </c>
      <c r="C140" s="286" t="s">
        <v>27</v>
      </c>
      <c r="D140" s="393">
        <v>194.5</v>
      </c>
      <c r="E140" s="45"/>
      <c r="F140" s="302">
        <f t="shared" si="3"/>
        <v>0</v>
      </c>
      <c r="G140" s="339"/>
    </row>
    <row r="141" spans="1:7" s="278" customFormat="1">
      <c r="A141" s="336"/>
      <c r="B141" s="322"/>
      <c r="C141" s="286"/>
      <c r="D141" s="393"/>
      <c r="E141" s="45"/>
      <c r="F141" s="302">
        <f t="shared" si="3"/>
        <v>0</v>
      </c>
      <c r="G141" s="339"/>
    </row>
    <row r="142" spans="1:7" s="278" customFormat="1">
      <c r="A142" s="336"/>
      <c r="B142" s="386" t="s">
        <v>285</v>
      </c>
      <c r="C142" s="317"/>
      <c r="D142" s="318"/>
      <c r="E142" s="45"/>
      <c r="F142" s="302">
        <f t="shared" si="3"/>
        <v>0</v>
      </c>
      <c r="G142" s="339"/>
    </row>
    <row r="143" spans="1:7" s="278" customFormat="1">
      <c r="A143" s="336"/>
      <c r="B143" s="386"/>
      <c r="C143" s="317"/>
      <c r="D143" s="318"/>
      <c r="E143" s="45"/>
      <c r="F143" s="302">
        <f t="shared" si="3"/>
        <v>0</v>
      </c>
      <c r="G143" s="339"/>
    </row>
    <row r="144" spans="1:7" s="278" customFormat="1">
      <c r="A144" s="391">
        <f>IF(B144&gt;0,MAX(A$134:A137)+1,"")</f>
        <v>3</v>
      </c>
      <c r="B144" s="386" t="s">
        <v>286</v>
      </c>
      <c r="C144" s="317"/>
      <c r="D144" s="318"/>
      <c r="E144" s="45"/>
      <c r="F144" s="302">
        <f t="shared" si="3"/>
        <v>0</v>
      </c>
      <c r="G144" s="339"/>
    </row>
    <row r="145" spans="1:7" s="278" customFormat="1" ht="60.6" customHeight="1">
      <c r="A145" s="336"/>
      <c r="B145" s="312" t="s">
        <v>1559</v>
      </c>
      <c r="C145" s="317"/>
      <c r="D145" s="318"/>
      <c r="E145" s="45"/>
      <c r="F145" s="302">
        <f t="shared" si="3"/>
        <v>0</v>
      </c>
      <c r="G145" s="339"/>
    </row>
    <row r="146" spans="1:7" s="278" customFormat="1">
      <c r="A146" s="336"/>
      <c r="B146" s="304" t="s">
        <v>279</v>
      </c>
      <c r="C146" s="317"/>
      <c r="D146" s="318"/>
      <c r="E146" s="45"/>
      <c r="F146" s="302">
        <f t="shared" si="3"/>
        <v>0</v>
      </c>
      <c r="G146" s="339"/>
    </row>
    <row r="147" spans="1:7" s="278" customFormat="1">
      <c r="A147" s="336"/>
      <c r="B147" s="322" t="s">
        <v>287</v>
      </c>
      <c r="C147" s="317"/>
      <c r="D147" s="318"/>
      <c r="E147" s="45"/>
      <c r="F147" s="302">
        <f t="shared" si="3"/>
        <v>0</v>
      </c>
      <c r="G147" s="339"/>
    </row>
    <row r="148" spans="1:7" s="278" customFormat="1">
      <c r="A148" s="336"/>
      <c r="B148" s="322" t="s">
        <v>75</v>
      </c>
      <c r="C148" s="286" t="s">
        <v>66</v>
      </c>
      <c r="D148" s="393">
        <v>2.9</v>
      </c>
      <c r="E148" s="45"/>
      <c r="F148" s="302">
        <f t="shared" si="3"/>
        <v>0</v>
      </c>
      <c r="G148" s="339"/>
    </row>
    <row r="149" spans="1:7" s="278" customFormat="1">
      <c r="A149" s="336"/>
      <c r="B149" s="322"/>
      <c r="C149" s="286"/>
      <c r="D149" s="393"/>
      <c r="E149" s="45"/>
      <c r="F149" s="302">
        <f t="shared" si="3"/>
        <v>0</v>
      </c>
      <c r="G149" s="339"/>
    </row>
    <row r="150" spans="1:7" s="278" customFormat="1">
      <c r="A150" s="391">
        <f>IF(B150&gt;0,MAX(A$134:A149)+1,"")</f>
        <v>4</v>
      </c>
      <c r="B150" s="386" t="s">
        <v>293</v>
      </c>
      <c r="C150" s="317"/>
      <c r="D150" s="318"/>
      <c r="E150" s="45"/>
      <c r="F150" s="302">
        <f t="shared" si="3"/>
        <v>0</v>
      </c>
      <c r="G150" s="339"/>
    </row>
    <row r="151" spans="1:7" s="278" customFormat="1" ht="60.6" customHeight="1">
      <c r="A151" s="336"/>
      <c r="B151" s="312" t="s">
        <v>1559</v>
      </c>
      <c r="C151" s="317"/>
      <c r="D151" s="318"/>
      <c r="E151" s="45"/>
      <c r="F151" s="302">
        <f t="shared" si="3"/>
        <v>0</v>
      </c>
      <c r="G151" s="339"/>
    </row>
    <row r="152" spans="1:7" s="278" customFormat="1">
      <c r="A152" s="336"/>
      <c r="B152" s="304" t="s">
        <v>294</v>
      </c>
      <c r="C152" s="317"/>
      <c r="D152" s="318"/>
      <c r="E152" s="45"/>
      <c r="F152" s="302">
        <f t="shared" si="3"/>
        <v>0</v>
      </c>
      <c r="G152" s="339"/>
    </row>
    <row r="153" spans="1:7" s="278" customFormat="1">
      <c r="A153" s="336"/>
      <c r="B153" s="322" t="s">
        <v>287</v>
      </c>
      <c r="C153" s="317"/>
      <c r="D153" s="318"/>
      <c r="E153" s="45"/>
      <c r="F153" s="302">
        <f t="shared" si="3"/>
        <v>0</v>
      </c>
      <c r="G153" s="339"/>
    </row>
    <row r="154" spans="1:7" s="278" customFormat="1">
      <c r="A154" s="336"/>
      <c r="B154" s="322" t="s">
        <v>75</v>
      </c>
      <c r="C154" s="286" t="s">
        <v>66</v>
      </c>
      <c r="D154" s="393">
        <v>50</v>
      </c>
      <c r="E154" s="45"/>
      <c r="F154" s="302">
        <f t="shared" si="3"/>
        <v>0</v>
      </c>
      <c r="G154" s="339"/>
    </row>
    <row r="155" spans="1:7" s="278" customFormat="1">
      <c r="A155" s="336"/>
      <c r="B155" s="322"/>
      <c r="C155" s="286"/>
      <c r="D155" s="393"/>
      <c r="E155" s="45"/>
      <c r="F155" s="302">
        <f t="shared" si="3"/>
        <v>0</v>
      </c>
      <c r="G155" s="339"/>
    </row>
    <row r="156" spans="1:7" s="278" customFormat="1">
      <c r="A156" s="336"/>
      <c r="B156" s="386" t="s">
        <v>184</v>
      </c>
      <c r="C156" s="317"/>
      <c r="D156" s="318"/>
      <c r="E156" s="45"/>
      <c r="F156" s="302">
        <f t="shared" si="3"/>
        <v>0</v>
      </c>
      <c r="G156" s="339"/>
    </row>
    <row r="157" spans="1:7" s="278" customFormat="1">
      <c r="A157" s="336"/>
      <c r="B157" s="386"/>
      <c r="C157" s="317"/>
      <c r="D157" s="318"/>
      <c r="E157" s="45"/>
      <c r="F157" s="302">
        <f t="shared" si="3"/>
        <v>0</v>
      </c>
      <c r="G157" s="339"/>
    </row>
    <row r="158" spans="1:7" s="278" customFormat="1">
      <c r="A158" s="391">
        <f>IF(B158&gt;0,MAX(A$134:A157)+1,"")</f>
        <v>5</v>
      </c>
      <c r="B158" s="386" t="s">
        <v>305</v>
      </c>
      <c r="C158" s="317"/>
      <c r="D158" s="318"/>
      <c r="E158" s="45"/>
      <c r="F158" s="302">
        <f t="shared" si="3"/>
        <v>0</v>
      </c>
      <c r="G158" s="339"/>
    </row>
    <row r="159" spans="1:7" s="278" customFormat="1" ht="58.9" customHeight="1">
      <c r="A159" s="336"/>
      <c r="B159" s="312" t="s">
        <v>307</v>
      </c>
      <c r="C159" s="317"/>
      <c r="D159" s="318"/>
      <c r="E159" s="45"/>
      <c r="F159" s="302">
        <f t="shared" si="3"/>
        <v>0</v>
      </c>
      <c r="G159" s="339"/>
    </row>
    <row r="160" spans="1:7" s="278" customFormat="1" ht="39">
      <c r="A160" s="336"/>
      <c r="B160" s="304" t="s">
        <v>309</v>
      </c>
      <c r="C160" s="317"/>
      <c r="D160" s="318"/>
      <c r="E160" s="45"/>
      <c r="F160" s="302">
        <f t="shared" si="3"/>
        <v>0</v>
      </c>
      <c r="G160" s="339"/>
    </row>
    <row r="161" spans="1:7" s="278" customFormat="1">
      <c r="A161" s="336"/>
      <c r="B161" s="304" t="s">
        <v>306</v>
      </c>
      <c r="C161" s="317"/>
      <c r="D161" s="318"/>
      <c r="E161" s="45"/>
      <c r="F161" s="302">
        <f t="shared" si="3"/>
        <v>0</v>
      </c>
      <c r="G161" s="339"/>
    </row>
    <row r="162" spans="1:7" s="278" customFormat="1">
      <c r="A162" s="336"/>
      <c r="B162" s="322" t="s">
        <v>76</v>
      </c>
      <c r="C162" s="317"/>
      <c r="D162" s="318"/>
      <c r="E162" s="45"/>
      <c r="F162" s="302">
        <f t="shared" si="3"/>
        <v>0</v>
      </c>
      <c r="G162" s="339"/>
    </row>
    <row r="163" spans="1:7" s="278" customFormat="1">
      <c r="A163" s="336"/>
      <c r="B163" s="322" t="s">
        <v>75</v>
      </c>
      <c r="C163" s="286" t="s">
        <v>66</v>
      </c>
      <c r="D163" s="393">
        <v>12.7</v>
      </c>
      <c r="E163" s="45"/>
      <c r="F163" s="302">
        <f t="shared" si="3"/>
        <v>0</v>
      </c>
      <c r="G163" s="339"/>
    </row>
    <row r="164" spans="1:7" s="278" customFormat="1">
      <c r="A164" s="336"/>
      <c r="B164" s="322" t="s">
        <v>74</v>
      </c>
      <c r="C164" s="286" t="s">
        <v>27</v>
      </c>
      <c r="D164" s="393">
        <v>1</v>
      </c>
      <c r="E164" s="45"/>
      <c r="F164" s="302">
        <f t="shared" si="3"/>
        <v>0</v>
      </c>
      <c r="G164" s="339"/>
    </row>
    <row r="165" spans="1:7" s="278" customFormat="1">
      <c r="A165" s="336"/>
      <c r="B165" s="322" t="s">
        <v>308</v>
      </c>
      <c r="C165" s="286" t="s">
        <v>66</v>
      </c>
      <c r="D165" s="393">
        <v>55.5</v>
      </c>
      <c r="E165" s="45"/>
      <c r="F165" s="302">
        <f t="shared" si="3"/>
        <v>0</v>
      </c>
      <c r="G165" s="339"/>
    </row>
    <row r="166" spans="1:7" s="278" customFormat="1">
      <c r="A166" s="336"/>
      <c r="B166" s="322"/>
      <c r="C166" s="286"/>
      <c r="D166" s="393"/>
      <c r="E166" s="45"/>
      <c r="F166" s="302">
        <f t="shared" si="3"/>
        <v>0</v>
      </c>
      <c r="G166" s="339"/>
    </row>
    <row r="167" spans="1:7" s="278" customFormat="1">
      <c r="A167" s="391">
        <f>IF(B167&gt;0,MAX(A$134:A166)+1,"")</f>
        <v>6</v>
      </c>
      <c r="B167" s="386" t="s">
        <v>310</v>
      </c>
      <c r="C167" s="317"/>
      <c r="D167" s="318"/>
      <c r="E167" s="45"/>
      <c r="F167" s="302">
        <f t="shared" si="3"/>
        <v>0</v>
      </c>
      <c r="G167" s="339"/>
    </row>
    <row r="168" spans="1:7" s="278" customFormat="1" ht="58.9" customHeight="1">
      <c r="A168" s="336"/>
      <c r="B168" s="312" t="s">
        <v>311</v>
      </c>
      <c r="C168" s="317"/>
      <c r="D168" s="318"/>
      <c r="E168" s="45"/>
      <c r="F168" s="302">
        <f t="shared" si="3"/>
        <v>0</v>
      </c>
      <c r="G168" s="339"/>
    </row>
    <row r="169" spans="1:7" s="278" customFormat="1" ht="26.25">
      <c r="A169" s="336"/>
      <c r="B169" s="304" t="s">
        <v>77</v>
      </c>
      <c r="C169" s="317"/>
      <c r="D169" s="318"/>
      <c r="E169" s="45"/>
      <c r="F169" s="302">
        <f t="shared" si="3"/>
        <v>0</v>
      </c>
      <c r="G169" s="339"/>
    </row>
    <row r="170" spans="1:7" s="278" customFormat="1">
      <c r="A170" s="336"/>
      <c r="B170" s="304" t="s">
        <v>312</v>
      </c>
      <c r="C170" s="317"/>
      <c r="D170" s="318"/>
      <c r="E170" s="45"/>
      <c r="F170" s="302">
        <f t="shared" si="3"/>
        <v>0</v>
      </c>
      <c r="G170" s="339"/>
    </row>
    <row r="171" spans="1:7" s="278" customFormat="1">
      <c r="A171" s="336"/>
      <c r="B171" s="322" t="s">
        <v>76</v>
      </c>
      <c r="C171" s="317"/>
      <c r="D171" s="318"/>
      <c r="E171" s="45"/>
      <c r="F171" s="302">
        <f t="shared" si="3"/>
        <v>0</v>
      </c>
      <c r="G171" s="339"/>
    </row>
    <row r="172" spans="1:7" s="278" customFormat="1">
      <c r="A172" s="336"/>
      <c r="B172" s="322" t="s">
        <v>75</v>
      </c>
      <c r="C172" s="286" t="s">
        <v>66</v>
      </c>
      <c r="D172" s="393">
        <v>4.5999999999999996</v>
      </c>
      <c r="E172" s="45"/>
      <c r="F172" s="302">
        <f t="shared" si="3"/>
        <v>0</v>
      </c>
      <c r="G172" s="339"/>
    </row>
    <row r="173" spans="1:7" s="278" customFormat="1">
      <c r="A173" s="336"/>
      <c r="B173" s="322" t="s">
        <v>74</v>
      </c>
      <c r="C173" s="286" t="s">
        <v>27</v>
      </c>
      <c r="D173" s="393">
        <v>30.5</v>
      </c>
      <c r="E173" s="45"/>
      <c r="F173" s="302">
        <f t="shared" si="3"/>
        <v>0</v>
      </c>
      <c r="G173" s="339"/>
    </row>
    <row r="174" spans="1:7" s="278" customFormat="1">
      <c r="A174" s="336"/>
      <c r="B174" s="322"/>
      <c r="C174" s="286"/>
      <c r="D174" s="393"/>
      <c r="E174" s="45"/>
      <c r="F174" s="302">
        <f t="shared" si="3"/>
        <v>0</v>
      </c>
      <c r="G174" s="339"/>
    </row>
    <row r="175" spans="1:7" s="325" customFormat="1" ht="127.5">
      <c r="A175" s="391">
        <f>IF(B175&gt;0,MAX(A$134:A174)+1,"")</f>
        <v>7</v>
      </c>
      <c r="B175" s="312" t="s">
        <v>1560</v>
      </c>
      <c r="C175" s="286"/>
      <c r="D175" s="393"/>
      <c r="E175" s="45"/>
      <c r="F175" s="302">
        <f t="shared" si="3"/>
        <v>0</v>
      </c>
    </row>
    <row r="176" spans="1:7" s="325" customFormat="1">
      <c r="A176" s="394"/>
      <c r="B176" s="312" t="s">
        <v>1561</v>
      </c>
      <c r="C176" s="286" t="s">
        <v>27</v>
      </c>
      <c r="D176" s="393">
        <v>100</v>
      </c>
      <c r="E176" s="45"/>
      <c r="F176" s="302">
        <f t="shared" si="3"/>
        <v>0</v>
      </c>
    </row>
    <row r="177" spans="1:6" s="325" customFormat="1">
      <c r="A177" s="394"/>
      <c r="B177" s="312" t="s">
        <v>1562</v>
      </c>
      <c r="C177" s="286" t="s">
        <v>66</v>
      </c>
      <c r="D177" s="393">
        <v>15</v>
      </c>
      <c r="E177" s="45"/>
      <c r="F177" s="302">
        <f t="shared" si="3"/>
        <v>0</v>
      </c>
    </row>
    <row r="178" spans="1:6" s="325" customFormat="1">
      <c r="A178" s="394"/>
      <c r="B178" s="312"/>
      <c r="C178" s="286"/>
      <c r="D178" s="393"/>
      <c r="E178" s="45"/>
      <c r="F178" s="302">
        <f t="shared" si="3"/>
        <v>0</v>
      </c>
    </row>
    <row r="179" spans="1:6" s="325" customFormat="1" ht="114.75">
      <c r="A179" s="391">
        <f>IF(B179&gt;0,MAX(A$134:A178)+1,"")</f>
        <v>8</v>
      </c>
      <c r="B179" s="312" t="s">
        <v>1563</v>
      </c>
      <c r="C179" s="286"/>
      <c r="D179" s="393"/>
      <c r="E179" s="45"/>
      <c r="F179" s="302">
        <f t="shared" si="3"/>
        <v>0</v>
      </c>
    </row>
    <row r="180" spans="1:6" s="325" customFormat="1">
      <c r="A180" s="394"/>
      <c r="B180" s="312" t="s">
        <v>1561</v>
      </c>
      <c r="C180" s="286" t="s">
        <v>27</v>
      </c>
      <c r="D180" s="393">
        <v>50</v>
      </c>
      <c r="E180" s="45"/>
      <c r="F180" s="302">
        <f t="shared" si="3"/>
        <v>0</v>
      </c>
    </row>
    <row r="181" spans="1:6" s="325" customFormat="1">
      <c r="A181" s="394"/>
      <c r="B181" s="312" t="s">
        <v>1562</v>
      </c>
      <c r="C181" s="286" t="s">
        <v>66</v>
      </c>
      <c r="D181" s="393">
        <v>5</v>
      </c>
      <c r="E181" s="45"/>
      <c r="F181" s="302">
        <f t="shared" si="3"/>
        <v>0</v>
      </c>
    </row>
    <row r="182" spans="1:6" s="325" customFormat="1">
      <c r="A182" s="394"/>
      <c r="B182" s="312"/>
      <c r="C182" s="286"/>
      <c r="D182" s="393"/>
      <c r="E182" s="45"/>
      <c r="F182" s="302">
        <f t="shared" si="3"/>
        <v>0</v>
      </c>
    </row>
    <row r="183" spans="1:6" s="325" customFormat="1" ht="114.75">
      <c r="A183" s="391">
        <f>IF(B183&gt;0,MAX(A$134:A182)+1,"")</f>
        <v>9</v>
      </c>
      <c r="B183" s="312" t="s">
        <v>1564</v>
      </c>
      <c r="C183" s="286"/>
      <c r="D183" s="393"/>
      <c r="E183" s="45"/>
      <c r="F183" s="302">
        <f t="shared" si="3"/>
        <v>0</v>
      </c>
    </row>
    <row r="184" spans="1:6" s="325" customFormat="1">
      <c r="A184" s="395"/>
      <c r="B184" s="312" t="s">
        <v>1561</v>
      </c>
      <c r="C184" s="286" t="s">
        <v>27</v>
      </c>
      <c r="D184" s="393">
        <v>25</v>
      </c>
      <c r="E184" s="45"/>
      <c r="F184" s="302">
        <f t="shared" si="3"/>
        <v>0</v>
      </c>
    </row>
    <row r="185" spans="1:6" s="325" customFormat="1">
      <c r="A185" s="395"/>
      <c r="B185" s="312" t="s">
        <v>1562</v>
      </c>
      <c r="C185" s="286" t="s">
        <v>66</v>
      </c>
      <c r="D185" s="393">
        <v>1.6</v>
      </c>
      <c r="E185" s="45"/>
      <c r="F185" s="302">
        <f t="shared" si="3"/>
        <v>0</v>
      </c>
    </row>
    <row r="186" spans="1:6" s="325" customFormat="1">
      <c r="A186" s="395"/>
      <c r="B186" s="312"/>
      <c r="C186" s="286"/>
      <c r="D186" s="393"/>
      <c r="E186" s="45"/>
      <c r="F186" s="302"/>
    </row>
    <row r="187" spans="1:6" s="325" customFormat="1" ht="114.75">
      <c r="A187" s="391">
        <f>IF(B187&gt;0,MAX(A$134:A186)+1,"")</f>
        <v>10</v>
      </c>
      <c r="B187" s="312" t="s">
        <v>5494</v>
      </c>
      <c r="C187" s="286"/>
      <c r="D187" s="393"/>
      <c r="E187" s="45"/>
      <c r="F187" s="302"/>
    </row>
    <row r="188" spans="1:6" s="325" customFormat="1">
      <c r="A188" s="395"/>
      <c r="B188" s="312" t="s">
        <v>1561</v>
      </c>
      <c r="C188" s="286" t="s">
        <v>27</v>
      </c>
      <c r="D188" s="393">
        <v>15</v>
      </c>
      <c r="E188" s="45"/>
      <c r="F188" s="302">
        <f t="shared" ref="F188:F189" si="4">E188*D188</f>
        <v>0</v>
      </c>
    </row>
    <row r="189" spans="1:6" s="325" customFormat="1">
      <c r="A189" s="395"/>
      <c r="B189" s="312" t="s">
        <v>1562</v>
      </c>
      <c r="C189" s="286" t="s">
        <v>66</v>
      </c>
      <c r="D189" s="393">
        <v>2.8</v>
      </c>
      <c r="E189" s="45"/>
      <c r="F189" s="302">
        <f t="shared" si="4"/>
        <v>0</v>
      </c>
    </row>
    <row r="190" spans="1:6" s="325" customFormat="1">
      <c r="A190" s="395"/>
      <c r="B190" s="312"/>
      <c r="C190" s="286"/>
      <c r="D190" s="393"/>
      <c r="E190" s="45"/>
      <c r="F190" s="302">
        <f t="shared" si="3"/>
        <v>0</v>
      </c>
    </row>
    <row r="191" spans="1:6" s="325" customFormat="1" ht="114.75">
      <c r="A191" s="391">
        <f>IF(B191&gt;0,MAX(A$134:A190)+1,"")</f>
        <v>11</v>
      </c>
      <c r="B191" s="312" t="s">
        <v>1565</v>
      </c>
      <c r="C191" s="286"/>
      <c r="D191" s="393"/>
      <c r="E191" s="45"/>
      <c r="F191" s="302">
        <f t="shared" si="3"/>
        <v>0</v>
      </c>
    </row>
    <row r="192" spans="1:6" s="325" customFormat="1">
      <c r="A192" s="395"/>
      <c r="B192" s="312" t="s">
        <v>1561</v>
      </c>
      <c r="C192" s="286" t="s">
        <v>27</v>
      </c>
      <c r="D192" s="393">
        <v>200</v>
      </c>
      <c r="E192" s="45"/>
      <c r="F192" s="302">
        <f t="shared" si="3"/>
        <v>0</v>
      </c>
    </row>
    <row r="193" spans="1:6" s="325" customFormat="1">
      <c r="A193" s="395"/>
      <c r="B193" s="312" t="s">
        <v>1562</v>
      </c>
      <c r="C193" s="286" t="s">
        <v>66</v>
      </c>
      <c r="D193" s="393">
        <v>12</v>
      </c>
      <c r="E193" s="45"/>
      <c r="F193" s="302">
        <f t="shared" si="3"/>
        <v>0</v>
      </c>
    </row>
    <row r="194" spans="1:6" s="325" customFormat="1">
      <c r="A194" s="396"/>
      <c r="B194" s="312"/>
      <c r="C194" s="286"/>
      <c r="D194" s="393"/>
      <c r="E194" s="45"/>
      <c r="F194" s="302">
        <f t="shared" si="3"/>
        <v>0</v>
      </c>
    </row>
    <row r="195" spans="1:6" s="325" customFormat="1" ht="89.25">
      <c r="A195" s="391">
        <f>IF(B195&gt;0,MAX(A$134:A194)+1,"")</f>
        <v>12</v>
      </c>
      <c r="B195" s="312" t="s">
        <v>1566</v>
      </c>
      <c r="C195" s="286"/>
      <c r="D195" s="393"/>
      <c r="E195" s="45"/>
      <c r="F195" s="302">
        <f t="shared" si="3"/>
        <v>0</v>
      </c>
    </row>
    <row r="196" spans="1:6" s="325" customFormat="1">
      <c r="A196" s="394"/>
      <c r="B196" s="312"/>
      <c r="C196" s="286" t="s">
        <v>66</v>
      </c>
      <c r="D196" s="393">
        <v>75</v>
      </c>
      <c r="E196" s="45"/>
      <c r="F196" s="302">
        <f t="shared" si="3"/>
        <v>0</v>
      </c>
    </row>
    <row r="197" spans="1:6" s="325" customFormat="1">
      <c r="A197" s="394"/>
      <c r="B197" s="312"/>
      <c r="C197" s="286"/>
      <c r="D197" s="393"/>
      <c r="E197" s="45"/>
      <c r="F197" s="302">
        <f t="shared" si="3"/>
        <v>0</v>
      </c>
    </row>
    <row r="198" spans="1:6" s="325" customFormat="1" ht="102">
      <c r="A198" s="391">
        <f>IF(B198&gt;0,MAX(A$134:A197)+1,"")</f>
        <v>13</v>
      </c>
      <c r="B198" s="312" t="s">
        <v>1567</v>
      </c>
      <c r="C198" s="286"/>
      <c r="D198" s="393"/>
      <c r="E198" s="45"/>
      <c r="F198" s="302">
        <f t="shared" si="3"/>
        <v>0</v>
      </c>
    </row>
    <row r="199" spans="1:6" s="325" customFormat="1">
      <c r="A199" s="395"/>
      <c r="B199" s="312"/>
      <c r="C199" s="286" t="s">
        <v>66</v>
      </c>
      <c r="D199" s="393">
        <v>15</v>
      </c>
      <c r="E199" s="45"/>
      <c r="F199" s="302">
        <f t="shared" si="3"/>
        <v>0</v>
      </c>
    </row>
    <row r="200" spans="1:6" s="325" customFormat="1">
      <c r="A200" s="394"/>
      <c r="B200" s="312"/>
      <c r="C200" s="286"/>
      <c r="D200" s="393"/>
      <c r="E200" s="45"/>
      <c r="F200" s="302">
        <f t="shared" si="3"/>
        <v>0</v>
      </c>
    </row>
    <row r="201" spans="1:6" s="325" customFormat="1" ht="114.75">
      <c r="A201" s="391">
        <f>IF(B201&gt;0,MAX(A$134:A200)+1,"")</f>
        <v>14</v>
      </c>
      <c r="B201" s="312" t="s">
        <v>1568</v>
      </c>
      <c r="C201" s="286"/>
      <c r="D201" s="393"/>
      <c r="E201" s="45"/>
      <c r="F201" s="302">
        <f t="shared" si="3"/>
        <v>0</v>
      </c>
    </row>
    <row r="202" spans="1:6" s="325" customFormat="1">
      <c r="A202" s="394"/>
      <c r="B202" s="312" t="s">
        <v>1561</v>
      </c>
      <c r="C202" s="286" t="s">
        <v>27</v>
      </c>
      <c r="D202" s="393">
        <v>32</v>
      </c>
      <c r="E202" s="45"/>
      <c r="F202" s="302">
        <f t="shared" ref="F202:F243" si="5">E202*D202</f>
        <v>0</v>
      </c>
    </row>
    <row r="203" spans="1:6" s="325" customFormat="1">
      <c r="A203" s="394"/>
      <c r="B203" s="312" t="s">
        <v>1562</v>
      </c>
      <c r="C203" s="286" t="s">
        <v>66</v>
      </c>
      <c r="D203" s="393">
        <v>4.5</v>
      </c>
      <c r="E203" s="45"/>
      <c r="F203" s="302">
        <f t="shared" si="5"/>
        <v>0</v>
      </c>
    </row>
    <row r="204" spans="1:6" s="325" customFormat="1">
      <c r="A204" s="394"/>
      <c r="B204" s="312"/>
      <c r="C204" s="286"/>
      <c r="D204" s="393"/>
      <c r="E204" s="45"/>
      <c r="F204" s="302">
        <f t="shared" si="5"/>
        <v>0</v>
      </c>
    </row>
    <row r="205" spans="1:6" s="325" customFormat="1" ht="140.25">
      <c r="A205" s="391">
        <f>IF(B205&gt;0,MAX(A$134:A204)+1,"")</f>
        <v>15</v>
      </c>
      <c r="B205" s="312" t="s">
        <v>1967</v>
      </c>
      <c r="C205" s="286"/>
      <c r="D205" s="393"/>
      <c r="E205" s="45"/>
      <c r="F205" s="302">
        <f t="shared" si="5"/>
        <v>0</v>
      </c>
    </row>
    <row r="206" spans="1:6" s="325" customFormat="1">
      <c r="A206" s="394"/>
      <c r="B206" s="312" t="s">
        <v>1561</v>
      </c>
      <c r="C206" s="286" t="s">
        <v>27</v>
      </c>
      <c r="D206" s="393">
        <v>10</v>
      </c>
      <c r="E206" s="45"/>
      <c r="F206" s="302">
        <f t="shared" si="5"/>
        <v>0</v>
      </c>
    </row>
    <row r="207" spans="1:6" s="325" customFormat="1">
      <c r="A207" s="394"/>
      <c r="B207" s="312" t="s">
        <v>1562</v>
      </c>
      <c r="C207" s="286" t="s">
        <v>66</v>
      </c>
      <c r="D207" s="393">
        <v>2.5</v>
      </c>
      <c r="E207" s="45"/>
      <c r="F207" s="302">
        <f t="shared" si="5"/>
        <v>0</v>
      </c>
    </row>
    <row r="208" spans="1:6" s="325" customFormat="1">
      <c r="A208" s="394"/>
      <c r="B208" s="312"/>
      <c r="C208" s="286"/>
      <c r="D208" s="393"/>
      <c r="E208" s="45"/>
      <c r="F208" s="302">
        <f t="shared" si="5"/>
        <v>0</v>
      </c>
    </row>
    <row r="209" spans="1:7" s="397" customFormat="1" ht="165.75">
      <c r="A209" s="391">
        <f>IF(B209&gt;0,MAX(A$134:A208)+1,"")</f>
        <v>16</v>
      </c>
      <c r="B209" s="312" t="s">
        <v>1968</v>
      </c>
      <c r="C209" s="286"/>
      <c r="D209" s="393"/>
      <c r="E209" s="45"/>
      <c r="F209" s="302">
        <f t="shared" si="5"/>
        <v>0</v>
      </c>
    </row>
    <row r="210" spans="1:7" s="397" customFormat="1">
      <c r="A210" s="394"/>
      <c r="B210" s="312" t="s">
        <v>1561</v>
      </c>
      <c r="C210" s="286" t="s">
        <v>27</v>
      </c>
      <c r="D210" s="393">
        <v>15</v>
      </c>
      <c r="E210" s="45"/>
      <c r="F210" s="302">
        <f t="shared" si="5"/>
        <v>0</v>
      </c>
    </row>
    <row r="211" spans="1:7" s="397" customFormat="1">
      <c r="A211" s="394"/>
      <c r="B211" s="312" t="s">
        <v>1562</v>
      </c>
      <c r="C211" s="286" t="s">
        <v>66</v>
      </c>
      <c r="D211" s="393">
        <v>2.5</v>
      </c>
      <c r="E211" s="45"/>
      <c r="F211" s="302">
        <f t="shared" si="5"/>
        <v>0</v>
      </c>
    </row>
    <row r="212" spans="1:7" s="397" customFormat="1">
      <c r="A212" s="394"/>
      <c r="B212" s="312"/>
      <c r="C212" s="286"/>
      <c r="D212" s="393"/>
      <c r="E212" s="45"/>
      <c r="F212" s="302">
        <f t="shared" si="5"/>
        <v>0</v>
      </c>
    </row>
    <row r="213" spans="1:7" s="397" customFormat="1" ht="140.25">
      <c r="A213" s="391">
        <f>IF(B213&gt;0,MAX(A$134:A212)+1,"")</f>
        <v>17</v>
      </c>
      <c r="B213" s="312" t="s">
        <v>1969</v>
      </c>
      <c r="C213" s="286"/>
      <c r="D213" s="393"/>
      <c r="E213" s="45"/>
      <c r="F213" s="302">
        <f t="shared" si="5"/>
        <v>0</v>
      </c>
    </row>
    <row r="214" spans="1:7" s="397" customFormat="1" ht="25.5">
      <c r="A214" s="391"/>
      <c r="B214" s="312" t="s">
        <v>1850</v>
      </c>
      <c r="C214" s="286"/>
      <c r="D214" s="393"/>
      <c r="E214" s="45"/>
      <c r="F214" s="302">
        <f t="shared" si="5"/>
        <v>0</v>
      </c>
    </row>
    <row r="215" spans="1:7" s="397" customFormat="1">
      <c r="A215" s="394"/>
      <c r="B215" s="312" t="s">
        <v>1561</v>
      </c>
      <c r="C215" s="286" t="s">
        <v>27</v>
      </c>
      <c r="D215" s="393">
        <v>100</v>
      </c>
      <c r="E215" s="45"/>
      <c r="F215" s="302">
        <f t="shared" si="5"/>
        <v>0</v>
      </c>
      <c r="G215" s="398"/>
    </row>
    <row r="216" spans="1:7" s="397" customFormat="1">
      <c r="A216" s="394"/>
      <c r="B216" s="312" t="s">
        <v>1562</v>
      </c>
      <c r="C216" s="286" t="s">
        <v>66</v>
      </c>
      <c r="D216" s="393">
        <v>15</v>
      </c>
      <c r="E216" s="45"/>
      <c r="F216" s="302">
        <f t="shared" si="5"/>
        <v>0</v>
      </c>
      <c r="G216" s="398"/>
    </row>
    <row r="217" spans="1:7" s="397" customFormat="1">
      <c r="A217" s="394"/>
      <c r="B217" s="312" t="s">
        <v>2015</v>
      </c>
      <c r="C217" s="286" t="s">
        <v>34</v>
      </c>
      <c r="D217" s="393">
        <v>10</v>
      </c>
      <c r="E217" s="45"/>
      <c r="F217" s="302">
        <f t="shared" si="5"/>
        <v>0</v>
      </c>
    </row>
    <row r="218" spans="1:7" s="397" customFormat="1">
      <c r="A218" s="394"/>
      <c r="B218" s="312"/>
      <c r="C218" s="286"/>
      <c r="D218" s="393"/>
      <c r="E218" s="45"/>
      <c r="F218" s="302">
        <f t="shared" si="5"/>
        <v>0</v>
      </c>
    </row>
    <row r="219" spans="1:7" s="397" customFormat="1" ht="114.75">
      <c r="A219" s="391">
        <f>IF(B219&gt;0,MAX(A$134:A218)+1,"")</f>
        <v>18</v>
      </c>
      <c r="B219" s="312" t="s">
        <v>1569</v>
      </c>
      <c r="C219" s="286"/>
      <c r="D219" s="393"/>
      <c r="E219" s="45"/>
      <c r="F219" s="302">
        <f t="shared" si="5"/>
        <v>0</v>
      </c>
    </row>
    <row r="220" spans="1:7" s="397" customFormat="1">
      <c r="A220" s="394"/>
      <c r="B220" s="312" t="s">
        <v>1561</v>
      </c>
      <c r="C220" s="286" t="s">
        <v>27</v>
      </c>
      <c r="D220" s="393">
        <v>22</v>
      </c>
      <c r="E220" s="45"/>
      <c r="F220" s="302">
        <f t="shared" si="5"/>
        <v>0</v>
      </c>
    </row>
    <row r="221" spans="1:7" s="397" customFormat="1">
      <c r="A221" s="394"/>
      <c r="B221" s="312" t="s">
        <v>1562</v>
      </c>
      <c r="C221" s="286" t="s">
        <v>66</v>
      </c>
      <c r="D221" s="393">
        <v>2.8</v>
      </c>
      <c r="E221" s="45"/>
      <c r="F221" s="302">
        <f t="shared" si="5"/>
        <v>0</v>
      </c>
    </row>
    <row r="222" spans="1:7" s="397" customFormat="1">
      <c r="A222" s="394"/>
      <c r="B222" s="312"/>
      <c r="C222" s="286"/>
      <c r="D222" s="393"/>
      <c r="E222" s="45"/>
      <c r="F222" s="302">
        <f t="shared" si="5"/>
        <v>0</v>
      </c>
    </row>
    <row r="223" spans="1:7" s="397" customFormat="1" ht="127.5">
      <c r="A223" s="391">
        <f>IF(B223&gt;0,MAX(A$134:A222)+1,"")</f>
        <v>19</v>
      </c>
      <c r="B223" s="312" t="s">
        <v>1570</v>
      </c>
      <c r="C223" s="286"/>
      <c r="D223" s="393"/>
      <c r="E223" s="45"/>
      <c r="F223" s="302">
        <f t="shared" si="5"/>
        <v>0</v>
      </c>
    </row>
    <row r="224" spans="1:7" s="397" customFormat="1">
      <c r="A224" s="394"/>
      <c r="B224" s="312" t="s">
        <v>1561</v>
      </c>
      <c r="C224" s="286" t="s">
        <v>27</v>
      </c>
      <c r="D224" s="393">
        <v>40</v>
      </c>
      <c r="E224" s="45"/>
      <c r="F224" s="302">
        <f t="shared" si="5"/>
        <v>0</v>
      </c>
    </row>
    <row r="225" spans="1:7" s="397" customFormat="1">
      <c r="A225" s="394"/>
      <c r="B225" s="312" t="s">
        <v>1562</v>
      </c>
      <c r="C225" s="286" t="s">
        <v>66</v>
      </c>
      <c r="D225" s="393">
        <v>2</v>
      </c>
      <c r="E225" s="45"/>
      <c r="F225" s="302">
        <f t="shared" si="5"/>
        <v>0</v>
      </c>
    </row>
    <row r="226" spans="1:7" s="397" customFormat="1">
      <c r="A226" s="394"/>
      <c r="B226" s="312"/>
      <c r="C226" s="286"/>
      <c r="D226" s="393"/>
      <c r="E226" s="45"/>
      <c r="F226" s="302">
        <f t="shared" si="5"/>
        <v>0</v>
      </c>
    </row>
    <row r="227" spans="1:7" s="397" customFormat="1" ht="114.75">
      <c r="A227" s="391">
        <f>IF(B227&gt;0,MAX(A$134:A226)+1,"")</f>
        <v>20</v>
      </c>
      <c r="B227" s="312" t="s">
        <v>1571</v>
      </c>
      <c r="C227" s="286"/>
      <c r="D227" s="393"/>
      <c r="E227" s="45"/>
      <c r="F227" s="302">
        <f t="shared" si="5"/>
        <v>0</v>
      </c>
    </row>
    <row r="228" spans="1:7" s="397" customFormat="1">
      <c r="A228" s="394"/>
      <c r="B228" s="312" t="s">
        <v>1561</v>
      </c>
      <c r="C228" s="286" t="s">
        <v>27</v>
      </c>
      <c r="D228" s="393">
        <v>3</v>
      </c>
      <c r="E228" s="45"/>
      <c r="F228" s="302">
        <f t="shared" si="5"/>
        <v>0</v>
      </c>
    </row>
    <row r="229" spans="1:7" s="397" customFormat="1">
      <c r="A229" s="394"/>
      <c r="B229" s="312" t="s">
        <v>1562</v>
      </c>
      <c r="C229" s="286" t="s">
        <v>66</v>
      </c>
      <c r="D229" s="393">
        <v>0.4</v>
      </c>
      <c r="E229" s="45"/>
      <c r="F229" s="302">
        <f t="shared" si="5"/>
        <v>0</v>
      </c>
    </row>
    <row r="230" spans="1:7" s="397" customFormat="1">
      <c r="A230" s="394"/>
      <c r="B230" s="312"/>
      <c r="C230" s="286"/>
      <c r="D230" s="393"/>
      <c r="E230" s="45"/>
      <c r="F230" s="302">
        <f t="shared" si="5"/>
        <v>0</v>
      </c>
    </row>
    <row r="231" spans="1:7" s="397" customFormat="1" ht="102">
      <c r="A231" s="391">
        <f>IF(B231&gt;0,MAX(A$134:A230)+1,"")</f>
        <v>21</v>
      </c>
      <c r="B231" s="312" t="s">
        <v>1572</v>
      </c>
      <c r="C231" s="286"/>
      <c r="D231" s="393"/>
      <c r="E231" s="45"/>
      <c r="F231" s="302">
        <f t="shared" si="5"/>
        <v>0</v>
      </c>
    </row>
    <row r="232" spans="1:7" s="397" customFormat="1">
      <c r="A232" s="394"/>
      <c r="B232" s="312" t="s">
        <v>1561</v>
      </c>
      <c r="C232" s="286" t="s">
        <v>27</v>
      </c>
      <c r="D232" s="393">
        <v>25</v>
      </c>
      <c r="E232" s="45"/>
      <c r="F232" s="302">
        <f t="shared" si="5"/>
        <v>0</v>
      </c>
    </row>
    <row r="233" spans="1:7" s="397" customFormat="1">
      <c r="A233" s="394"/>
      <c r="B233" s="312" t="s">
        <v>1562</v>
      </c>
      <c r="C233" s="286" t="s">
        <v>66</v>
      </c>
      <c r="D233" s="393">
        <v>6</v>
      </c>
      <c r="E233" s="45"/>
      <c r="F233" s="302">
        <f t="shared" si="5"/>
        <v>0</v>
      </c>
    </row>
    <row r="234" spans="1:7" s="399" customFormat="1">
      <c r="A234" s="394"/>
      <c r="B234" s="312"/>
      <c r="C234" s="286"/>
      <c r="D234" s="393"/>
      <c r="E234" s="45"/>
      <c r="F234" s="302">
        <f t="shared" si="5"/>
        <v>0</v>
      </c>
    </row>
    <row r="235" spans="1:7" s="399" customFormat="1">
      <c r="A235" s="391">
        <f>IF(B235&gt;0,MAX(A$134:A234)+1,"")</f>
        <v>22</v>
      </c>
      <c r="B235" s="386" t="s">
        <v>1837</v>
      </c>
      <c r="C235" s="286"/>
      <c r="D235" s="393"/>
      <c r="E235" s="45"/>
      <c r="F235" s="302">
        <f t="shared" si="5"/>
        <v>0</v>
      </c>
    </row>
    <row r="236" spans="1:7" s="397" customFormat="1" ht="76.5">
      <c r="A236" s="391"/>
      <c r="B236" s="312" t="s">
        <v>1573</v>
      </c>
      <c r="C236" s="286"/>
      <c r="D236" s="393"/>
      <c r="E236" s="45"/>
      <c r="F236" s="302">
        <f t="shared" si="5"/>
        <v>0</v>
      </c>
      <c r="G236" s="400">
        <f>ROUND(E238*F238,2)</f>
        <v>0</v>
      </c>
    </row>
    <row r="237" spans="1:7" s="397" customFormat="1" ht="38.25">
      <c r="A237" s="401"/>
      <c r="B237" s="312" t="s">
        <v>1574</v>
      </c>
      <c r="C237" s="286"/>
      <c r="D237" s="393"/>
      <c r="E237" s="45"/>
      <c r="F237" s="302">
        <f t="shared" si="5"/>
        <v>0</v>
      </c>
    </row>
    <row r="238" spans="1:7" s="402" customFormat="1">
      <c r="A238" s="401"/>
      <c r="B238" s="312"/>
      <c r="C238" s="286" t="s">
        <v>66</v>
      </c>
      <c r="D238" s="393">
        <v>8</v>
      </c>
      <c r="E238" s="45"/>
      <c r="F238" s="302">
        <f t="shared" si="5"/>
        <v>0</v>
      </c>
    </row>
    <row r="239" spans="1:7" s="402" customFormat="1">
      <c r="A239" s="401"/>
      <c r="B239" s="403"/>
      <c r="C239" s="403"/>
      <c r="D239" s="404"/>
      <c r="E239" s="17"/>
      <c r="F239" s="302">
        <f t="shared" si="5"/>
        <v>0</v>
      </c>
    </row>
    <row r="240" spans="1:7" s="402" customFormat="1">
      <c r="A240" s="391">
        <f>IF(B240&gt;0,MAX(A$134:A239)+1,"")</f>
        <v>23</v>
      </c>
      <c r="B240" s="386" t="s">
        <v>72</v>
      </c>
      <c r="C240" s="317"/>
      <c r="D240" s="318"/>
      <c r="E240" s="45"/>
      <c r="F240" s="302">
        <f t="shared" si="5"/>
        <v>0</v>
      </c>
    </row>
    <row r="241" spans="1:7" s="278" customFormat="1" ht="76.5">
      <c r="A241" s="336"/>
      <c r="B241" s="405" t="s">
        <v>1575</v>
      </c>
      <c r="C241" s="286"/>
      <c r="D241" s="287"/>
      <c r="E241" s="13"/>
      <c r="F241" s="302">
        <f t="shared" si="5"/>
        <v>0</v>
      </c>
      <c r="G241" s="339"/>
    </row>
    <row r="242" spans="1:7" s="278" customFormat="1">
      <c r="A242" s="336"/>
      <c r="B242" s="406" t="s">
        <v>71</v>
      </c>
      <c r="C242" s="286" t="s">
        <v>34</v>
      </c>
      <c r="D242" s="393">
        <v>1</v>
      </c>
      <c r="E242" s="45"/>
      <c r="F242" s="302">
        <f t="shared" si="5"/>
        <v>0</v>
      </c>
      <c r="G242" s="339"/>
    </row>
    <row r="243" spans="1:7" s="278" customFormat="1">
      <c r="A243" s="336"/>
      <c r="B243" s="406"/>
      <c r="C243" s="286"/>
      <c r="D243" s="393"/>
      <c r="E243" s="45"/>
      <c r="F243" s="302">
        <f t="shared" si="5"/>
        <v>0</v>
      </c>
      <c r="G243" s="339"/>
    </row>
    <row r="244" spans="1:7" s="278" customFormat="1">
      <c r="A244" s="289" t="s">
        <v>21</v>
      </c>
      <c r="B244" s="369" t="s">
        <v>18</v>
      </c>
      <c r="C244" s="341"/>
      <c r="D244" s="342"/>
      <c r="E244" s="349"/>
      <c r="F244" s="389">
        <f>SUM(F125:F242)</f>
        <v>0</v>
      </c>
      <c r="G244" s="339"/>
    </row>
    <row r="245" spans="1:7" s="278" customFormat="1">
      <c r="A245" s="336"/>
      <c r="B245" s="317"/>
      <c r="C245" s="317"/>
      <c r="D245" s="318"/>
      <c r="E245" s="45"/>
      <c r="F245" s="338"/>
      <c r="G245" s="339"/>
    </row>
    <row r="246" spans="1:7" s="278" customFormat="1">
      <c r="A246" s="289" t="s">
        <v>19</v>
      </c>
      <c r="B246" s="369" t="s">
        <v>70</v>
      </c>
      <c r="C246" s="341"/>
      <c r="D246" s="342"/>
      <c r="E246" s="351"/>
      <c r="F246" s="389"/>
      <c r="G246" s="339"/>
    </row>
    <row r="247" spans="1:7" s="278" customFormat="1">
      <c r="A247" s="336"/>
      <c r="B247" s="317"/>
      <c r="C247" s="317"/>
      <c r="D247" s="318"/>
      <c r="E247" s="45"/>
      <c r="F247" s="338"/>
      <c r="G247" s="339"/>
    </row>
    <row r="248" spans="1:7" s="278" customFormat="1">
      <c r="A248" s="407">
        <v>1</v>
      </c>
      <c r="B248" s="386" t="s">
        <v>1584</v>
      </c>
      <c r="C248" s="368"/>
      <c r="D248" s="287"/>
      <c r="E248" s="13"/>
      <c r="F248" s="288"/>
      <c r="G248" s="339"/>
    </row>
    <row r="249" spans="1:7" s="402" customFormat="1" ht="38.25">
      <c r="A249" s="408"/>
      <c r="B249" s="406" t="s">
        <v>1576</v>
      </c>
      <c r="C249" s="368"/>
      <c r="D249" s="287"/>
      <c r="E249" s="13"/>
      <c r="F249" s="288"/>
    </row>
    <row r="250" spans="1:7" s="402" customFormat="1" ht="25.5">
      <c r="A250" s="408"/>
      <c r="B250" s="406" t="s">
        <v>1577</v>
      </c>
      <c r="C250" s="286"/>
      <c r="D250" s="393"/>
      <c r="E250" s="45"/>
      <c r="F250" s="302"/>
    </row>
    <row r="251" spans="1:7" s="402" customFormat="1">
      <c r="A251" s="408"/>
      <c r="B251" s="406" t="s">
        <v>1578</v>
      </c>
      <c r="C251" s="286" t="s">
        <v>26</v>
      </c>
      <c r="D251" s="393">
        <v>250</v>
      </c>
      <c r="E251" s="45"/>
      <c r="F251" s="302">
        <f>D251*E251</f>
        <v>0</v>
      </c>
    </row>
    <row r="252" spans="1:7" s="402" customFormat="1">
      <c r="A252" s="408"/>
      <c r="B252" s="406" t="s">
        <v>1579</v>
      </c>
      <c r="C252" s="286" t="s">
        <v>68</v>
      </c>
      <c r="D252" s="393">
        <v>300</v>
      </c>
      <c r="E252" s="45"/>
      <c r="F252" s="302">
        <f t="shared" ref="F252:F258" si="6">D252*E252</f>
        <v>0</v>
      </c>
    </row>
    <row r="253" spans="1:7" s="402" customFormat="1">
      <c r="A253" s="408"/>
      <c r="B253" s="406" t="s">
        <v>1580</v>
      </c>
      <c r="C253" s="286" t="s">
        <v>68</v>
      </c>
      <c r="D253" s="393">
        <v>100</v>
      </c>
      <c r="E253" s="45"/>
      <c r="F253" s="302">
        <f t="shared" si="6"/>
        <v>0</v>
      </c>
    </row>
    <row r="254" spans="1:7" s="402" customFormat="1">
      <c r="A254" s="408"/>
      <c r="B254" s="406"/>
      <c r="C254" s="286"/>
      <c r="D254" s="393"/>
      <c r="E254" s="45"/>
      <c r="F254" s="302">
        <f t="shared" si="6"/>
        <v>0</v>
      </c>
    </row>
    <row r="255" spans="1:7" s="402" customFormat="1">
      <c r="A255" s="407">
        <v>2</v>
      </c>
      <c r="B255" s="386" t="s">
        <v>69</v>
      </c>
      <c r="C255" s="286"/>
      <c r="D255" s="393"/>
      <c r="E255" s="45"/>
      <c r="F255" s="302">
        <f t="shared" si="6"/>
        <v>0</v>
      </c>
    </row>
    <row r="256" spans="1:7" s="402" customFormat="1" ht="63.75">
      <c r="A256" s="408"/>
      <c r="B256" s="406" t="s">
        <v>1581</v>
      </c>
      <c r="C256" s="286"/>
      <c r="D256" s="393"/>
      <c r="E256" s="45"/>
      <c r="F256" s="302">
        <f t="shared" si="6"/>
        <v>0</v>
      </c>
    </row>
    <row r="257" spans="1:7" s="402" customFormat="1">
      <c r="A257" s="408"/>
      <c r="B257" s="406" t="s">
        <v>1582</v>
      </c>
      <c r="C257" s="286" t="s">
        <v>68</v>
      </c>
      <c r="D257" s="393">
        <v>2400</v>
      </c>
      <c r="E257" s="45"/>
      <c r="F257" s="302">
        <f t="shared" si="6"/>
        <v>0</v>
      </c>
    </row>
    <row r="258" spans="1:7" s="402" customFormat="1">
      <c r="A258" s="408"/>
      <c r="B258" s="406" t="s">
        <v>1583</v>
      </c>
      <c r="C258" s="286" t="s">
        <v>68</v>
      </c>
      <c r="D258" s="393">
        <v>11000</v>
      </c>
      <c r="E258" s="45"/>
      <c r="F258" s="302">
        <f t="shared" si="6"/>
        <v>0</v>
      </c>
    </row>
    <row r="259" spans="1:7" s="402" customFormat="1">
      <c r="A259" s="408"/>
      <c r="B259" s="406"/>
      <c r="C259" s="286"/>
      <c r="D259" s="393"/>
      <c r="E259" s="45"/>
      <c r="F259" s="302">
        <f t="shared" ref="F259" si="7">D259*E259</f>
        <v>0</v>
      </c>
    </row>
    <row r="260" spans="1:7" s="402" customFormat="1">
      <c r="A260" s="289" t="s">
        <v>19</v>
      </c>
      <c r="B260" s="369" t="s">
        <v>16</v>
      </c>
      <c r="C260" s="341"/>
      <c r="D260" s="342"/>
      <c r="E260" s="351"/>
      <c r="F260" s="389">
        <f>SUM(F250:F258)</f>
        <v>0</v>
      </c>
    </row>
    <row r="261" spans="1:7" s="278" customFormat="1">
      <c r="A261" s="336"/>
      <c r="B261" s="317"/>
      <c r="C261" s="317"/>
      <c r="D261" s="318"/>
      <c r="E261" s="45"/>
      <c r="F261" s="338"/>
      <c r="G261" s="339"/>
    </row>
    <row r="262" spans="1:7" s="278" customFormat="1">
      <c r="A262" s="289" t="s">
        <v>17</v>
      </c>
      <c r="B262" s="290" t="s">
        <v>1622</v>
      </c>
      <c r="C262" s="295"/>
      <c r="D262" s="296"/>
      <c r="E262" s="350"/>
      <c r="F262" s="297"/>
      <c r="G262" s="339"/>
    </row>
    <row r="263" spans="1:7">
      <c r="A263" s="299"/>
      <c r="B263" s="285"/>
      <c r="C263" s="300"/>
      <c r="D263" s="301"/>
      <c r="E263" s="10"/>
      <c r="F263" s="302"/>
    </row>
    <row r="264" spans="1:7" ht="30">
      <c r="A264" s="408">
        <v>1</v>
      </c>
      <c r="B264" s="340" t="s">
        <v>1624</v>
      </c>
      <c r="C264" s="409"/>
      <c r="D264" s="404"/>
      <c r="E264" s="17"/>
      <c r="F264" s="410"/>
    </row>
    <row r="265" spans="1:7" s="411" customFormat="1" ht="51">
      <c r="A265" s="412"/>
      <c r="B265" s="312" t="s">
        <v>1625</v>
      </c>
      <c r="C265" s="413"/>
      <c r="D265" s="414"/>
      <c r="E265" s="516"/>
      <c r="F265" s="302"/>
    </row>
    <row r="266" spans="1:7" s="411" customFormat="1">
      <c r="A266" s="415"/>
      <c r="B266" s="312" t="s">
        <v>1626</v>
      </c>
      <c r="C266" s="413"/>
      <c r="D266" s="414"/>
      <c r="E266" s="516"/>
      <c r="F266" s="302"/>
    </row>
    <row r="267" spans="1:7" s="411" customFormat="1">
      <c r="A267" s="415"/>
      <c r="B267" s="312" t="s">
        <v>1627</v>
      </c>
      <c r="C267" s="413" t="s">
        <v>68</v>
      </c>
      <c r="D267" s="414">
        <v>190</v>
      </c>
      <c r="E267" s="516"/>
      <c r="F267" s="302">
        <f>D267*E267</f>
        <v>0</v>
      </c>
    </row>
    <row r="268" spans="1:7" s="411" customFormat="1">
      <c r="A268" s="415"/>
      <c r="B268" s="312" t="s">
        <v>1628</v>
      </c>
      <c r="C268" s="413" t="s">
        <v>26</v>
      </c>
      <c r="D268" s="414">
        <v>72</v>
      </c>
      <c r="E268" s="516"/>
      <c r="F268" s="302">
        <f t="shared" ref="F268:F282" si="8">D268*E268</f>
        <v>0</v>
      </c>
    </row>
    <row r="269" spans="1:7" s="411" customFormat="1">
      <c r="A269" s="415"/>
      <c r="B269" s="312"/>
      <c r="C269" s="413"/>
      <c r="D269" s="414"/>
      <c r="E269" s="516"/>
      <c r="F269" s="302">
        <f t="shared" si="8"/>
        <v>0</v>
      </c>
    </row>
    <row r="270" spans="1:7" s="411" customFormat="1" ht="20.25" customHeight="1">
      <c r="A270" s="408">
        <v>2</v>
      </c>
      <c r="B270" s="1600" t="s">
        <v>1629</v>
      </c>
      <c r="C270" s="413"/>
      <c r="D270" s="414"/>
      <c r="E270" s="516"/>
      <c r="F270" s="302">
        <f t="shared" si="8"/>
        <v>0</v>
      </c>
    </row>
    <row r="271" spans="1:7" s="411" customFormat="1" ht="51">
      <c r="A271" s="378"/>
      <c r="B271" s="312" t="s">
        <v>1630</v>
      </c>
      <c r="C271" s="413"/>
      <c r="D271" s="414"/>
      <c r="E271" s="516"/>
      <c r="F271" s="302">
        <f t="shared" si="8"/>
        <v>0</v>
      </c>
    </row>
    <row r="272" spans="1:7" s="411" customFormat="1" ht="51">
      <c r="A272" s="378"/>
      <c r="B272" s="312" t="s">
        <v>1631</v>
      </c>
      <c r="C272" s="413"/>
      <c r="D272" s="414"/>
      <c r="E272" s="516"/>
      <c r="F272" s="302">
        <f t="shared" si="8"/>
        <v>0</v>
      </c>
    </row>
    <row r="273" spans="1:6" s="411" customFormat="1" ht="26.25">
      <c r="A273" s="378"/>
      <c r="B273" s="312" t="s">
        <v>1641</v>
      </c>
      <c r="C273" s="413"/>
      <c r="D273" s="414"/>
      <c r="E273" s="516"/>
      <c r="F273" s="302">
        <f t="shared" si="8"/>
        <v>0</v>
      </c>
    </row>
    <row r="274" spans="1:6" s="411" customFormat="1" ht="25.5">
      <c r="A274" s="378"/>
      <c r="B274" s="312" t="s">
        <v>1632</v>
      </c>
      <c r="C274" s="413"/>
      <c r="D274" s="414"/>
      <c r="E274" s="516"/>
      <c r="F274" s="302">
        <f t="shared" si="8"/>
        <v>0</v>
      </c>
    </row>
    <row r="275" spans="1:6" s="411" customFormat="1" ht="25.5">
      <c r="A275" s="378"/>
      <c r="B275" s="312" t="s">
        <v>1633</v>
      </c>
      <c r="C275" s="413"/>
      <c r="D275" s="414"/>
      <c r="E275" s="516"/>
      <c r="F275" s="302">
        <f t="shared" si="8"/>
        <v>0</v>
      </c>
    </row>
    <row r="276" spans="1:6" s="411" customFormat="1">
      <c r="A276" s="378"/>
      <c r="B276" s="312" t="s">
        <v>1634</v>
      </c>
      <c r="C276" s="413" t="s">
        <v>27</v>
      </c>
      <c r="D276" s="414">
        <v>6</v>
      </c>
      <c r="E276" s="516"/>
      <c r="F276" s="302">
        <f t="shared" si="8"/>
        <v>0</v>
      </c>
    </row>
    <row r="277" spans="1:6" s="411" customFormat="1">
      <c r="A277" s="415"/>
      <c r="B277" s="312" t="s">
        <v>1635</v>
      </c>
      <c r="C277" s="413" t="s">
        <v>26</v>
      </c>
      <c r="D277" s="414">
        <v>6</v>
      </c>
      <c r="E277" s="516"/>
      <c r="F277" s="302">
        <f t="shared" si="8"/>
        <v>0</v>
      </c>
    </row>
    <row r="278" spans="1:6" s="411" customFormat="1">
      <c r="A278" s="415"/>
      <c r="B278" s="312" t="s">
        <v>1636</v>
      </c>
      <c r="C278" s="413" t="s">
        <v>26</v>
      </c>
      <c r="D278" s="414">
        <v>1.5</v>
      </c>
      <c r="E278" s="516"/>
      <c r="F278" s="302">
        <f t="shared" si="8"/>
        <v>0</v>
      </c>
    </row>
    <row r="279" spans="1:6" s="411" customFormat="1">
      <c r="A279" s="415"/>
      <c r="B279" s="312"/>
      <c r="C279" s="413"/>
      <c r="D279" s="414"/>
      <c r="E279" s="516"/>
      <c r="F279" s="302">
        <f t="shared" si="8"/>
        <v>0</v>
      </c>
    </row>
    <row r="280" spans="1:6" s="411" customFormat="1">
      <c r="A280" s="408">
        <v>3</v>
      </c>
      <c r="B280" s="340" t="s">
        <v>1637</v>
      </c>
      <c r="C280" s="413"/>
      <c r="D280" s="414"/>
      <c r="E280" s="516"/>
      <c r="F280" s="302">
        <f t="shared" si="8"/>
        <v>0</v>
      </c>
    </row>
    <row r="281" spans="1:6" s="411" customFormat="1" ht="38.25">
      <c r="A281" s="378"/>
      <c r="B281" s="312" t="s">
        <v>1638</v>
      </c>
      <c r="C281" s="413"/>
      <c r="D281" s="414"/>
      <c r="E281" s="516"/>
      <c r="F281" s="302">
        <f t="shared" si="8"/>
        <v>0</v>
      </c>
    </row>
    <row r="282" spans="1:6" s="411" customFormat="1" ht="38.25">
      <c r="A282" s="378"/>
      <c r="B282" s="312" t="s">
        <v>1639</v>
      </c>
      <c r="C282" s="413"/>
      <c r="D282" s="414"/>
      <c r="E282" s="516"/>
      <c r="F282" s="302">
        <f t="shared" si="8"/>
        <v>0</v>
      </c>
    </row>
    <row r="283" spans="1:6" s="411" customFormat="1">
      <c r="A283" s="415"/>
      <c r="B283" s="312" t="s">
        <v>1640</v>
      </c>
      <c r="C283" s="413" t="s">
        <v>27</v>
      </c>
      <c r="D283" s="414">
        <v>15</v>
      </c>
      <c r="E283" s="516"/>
      <c r="F283" s="302">
        <f>D283*E283</f>
        <v>0</v>
      </c>
    </row>
    <row r="284" spans="1:6" s="411" customFormat="1">
      <c r="A284" s="415"/>
      <c r="B284" s="416"/>
    </row>
    <row r="285" spans="1:6" s="411" customFormat="1">
      <c r="A285" s="289" t="s">
        <v>17</v>
      </c>
      <c r="B285" s="290" t="s">
        <v>1623</v>
      </c>
      <c r="C285" s="341"/>
      <c r="D285" s="342"/>
      <c r="E285" s="351"/>
      <c r="F285" s="343">
        <f>SUM(F267:F283)</f>
        <v>0</v>
      </c>
    </row>
    <row r="286" spans="1:6">
      <c r="A286" s="336"/>
      <c r="B286" s="317"/>
      <c r="C286" s="317"/>
      <c r="D286" s="318"/>
      <c r="E286" s="45"/>
      <c r="F286" s="338"/>
    </row>
    <row r="287" spans="1:6">
      <c r="A287" s="289" t="s">
        <v>15</v>
      </c>
      <c r="B287" s="290" t="s">
        <v>1732</v>
      </c>
      <c r="C287" s="295"/>
      <c r="D287" s="296"/>
      <c r="E287" s="350"/>
      <c r="F287" s="297"/>
    </row>
    <row r="288" spans="1:6">
      <c r="A288" s="299"/>
      <c r="B288" s="285"/>
      <c r="C288" s="300"/>
      <c r="D288" s="301"/>
      <c r="E288" s="10"/>
      <c r="F288" s="302"/>
    </row>
    <row r="289" spans="1:6" ht="45">
      <c r="A289" s="417">
        <v>1</v>
      </c>
      <c r="B289" s="340" t="s">
        <v>1813</v>
      </c>
      <c r="C289" s="413"/>
      <c r="D289" s="414"/>
      <c r="E289" s="516"/>
      <c r="F289" s="302"/>
    </row>
    <row r="290" spans="1:6" s="402" customFormat="1" ht="31.5" customHeight="1">
      <c r="A290" s="357"/>
      <c r="B290" s="312" t="s">
        <v>1814</v>
      </c>
      <c r="C290" s="413"/>
      <c r="D290" s="414"/>
      <c r="E290" s="516"/>
      <c r="F290" s="302"/>
    </row>
    <row r="291" spans="1:6" s="402" customFormat="1">
      <c r="A291" s="357"/>
      <c r="B291" s="312" t="s">
        <v>1815</v>
      </c>
      <c r="C291" s="413"/>
      <c r="D291" s="414"/>
      <c r="E291" s="516"/>
      <c r="F291" s="302"/>
    </row>
    <row r="292" spans="1:6" s="402" customFormat="1" ht="24.75" customHeight="1">
      <c r="A292" s="357"/>
      <c r="B292" s="312" t="s">
        <v>1816</v>
      </c>
      <c r="C292" s="413"/>
      <c r="D292" s="414"/>
      <c r="E292" s="516"/>
      <c r="F292" s="302"/>
    </row>
    <row r="293" spans="1:6" s="402" customFormat="1" ht="17.25" customHeight="1">
      <c r="A293" s="357"/>
      <c r="B293" s="312" t="s">
        <v>1817</v>
      </c>
      <c r="C293" s="413"/>
      <c r="D293" s="414"/>
      <c r="E293" s="516"/>
      <c r="F293" s="302"/>
    </row>
    <row r="294" spans="1:6" s="402" customFormat="1" ht="38.25">
      <c r="A294" s="357"/>
      <c r="B294" s="312" t="s">
        <v>1818</v>
      </c>
      <c r="C294" s="413"/>
      <c r="D294" s="414"/>
      <c r="E294" s="516"/>
      <c r="F294" s="302"/>
    </row>
    <row r="295" spans="1:6" s="402" customFormat="1" ht="38.25">
      <c r="A295" s="357"/>
      <c r="B295" s="312" t="s">
        <v>1819</v>
      </c>
      <c r="C295" s="413"/>
      <c r="D295" s="414"/>
      <c r="E295" s="516"/>
      <c r="F295" s="302"/>
    </row>
    <row r="296" spans="1:6" s="402" customFormat="1" ht="25.5">
      <c r="A296" s="357"/>
      <c r="B296" s="312" t="s">
        <v>1820</v>
      </c>
      <c r="C296" s="413"/>
      <c r="D296" s="414"/>
      <c r="E296" s="516"/>
      <c r="F296" s="302"/>
    </row>
    <row r="297" spans="1:6" s="402" customFormat="1">
      <c r="A297" s="357"/>
      <c r="B297" s="312" t="s">
        <v>1821</v>
      </c>
      <c r="C297" s="413"/>
      <c r="D297" s="414"/>
      <c r="E297" s="516"/>
      <c r="F297" s="302"/>
    </row>
    <row r="298" spans="1:6" s="402" customFormat="1">
      <c r="A298" s="357"/>
      <c r="B298" s="312" t="s">
        <v>1822</v>
      </c>
      <c r="C298" s="413"/>
      <c r="D298" s="414"/>
      <c r="E298" s="516"/>
      <c r="F298" s="302"/>
    </row>
    <row r="299" spans="1:6" s="402" customFormat="1" ht="38.25">
      <c r="A299" s="357"/>
      <c r="B299" s="312" t="s">
        <v>1823</v>
      </c>
      <c r="C299" s="413"/>
      <c r="D299" s="414"/>
      <c r="E299" s="516"/>
      <c r="F299" s="302"/>
    </row>
    <row r="300" spans="1:6" s="402" customFormat="1" ht="51">
      <c r="A300" s="357"/>
      <c r="B300" s="312" t="s">
        <v>1824</v>
      </c>
      <c r="C300" s="413"/>
      <c r="D300" s="414"/>
      <c r="E300" s="516"/>
      <c r="F300" s="302"/>
    </row>
    <row r="301" spans="1:6" s="402" customFormat="1" ht="25.5">
      <c r="A301" s="357"/>
      <c r="B301" s="312" t="s">
        <v>1826</v>
      </c>
      <c r="C301" s="413"/>
      <c r="D301" s="414"/>
      <c r="E301" s="516"/>
      <c r="F301" s="302">
        <f>D301*E301</f>
        <v>0</v>
      </c>
    </row>
    <row r="302" spans="1:6" s="402" customFormat="1">
      <c r="A302" s="357"/>
      <c r="B302" s="312" t="s">
        <v>1825</v>
      </c>
      <c r="C302" s="413" t="s">
        <v>68</v>
      </c>
      <c r="D302" s="414">
        <v>1700</v>
      </c>
      <c r="E302" s="516"/>
      <c r="F302" s="302">
        <f>D302*E302</f>
        <v>0</v>
      </c>
    </row>
    <row r="303" spans="1:6" s="402" customFormat="1">
      <c r="A303" s="357"/>
      <c r="B303" s="312"/>
    </row>
    <row r="304" spans="1:6" s="402" customFormat="1" ht="45">
      <c r="A304" s="417">
        <v>2</v>
      </c>
      <c r="B304" s="340" t="s">
        <v>1827</v>
      </c>
      <c r="C304" s="413"/>
      <c r="D304" s="414"/>
      <c r="E304" s="516"/>
      <c r="F304" s="302">
        <f t="shared" ref="F304:F365" si="9">D304*E304</f>
        <v>0</v>
      </c>
    </row>
    <row r="305" spans="1:7" s="402" customFormat="1" ht="25.5">
      <c r="A305" s="357"/>
      <c r="B305" s="312" t="s">
        <v>1814</v>
      </c>
      <c r="C305" s="413"/>
      <c r="D305" s="414"/>
      <c r="E305" s="516"/>
      <c r="F305" s="302">
        <f t="shared" si="9"/>
        <v>0</v>
      </c>
      <c r="G305" s="418"/>
    </row>
    <row r="306" spans="1:7" s="402" customFormat="1">
      <c r="A306" s="357"/>
      <c r="B306" s="312" t="s">
        <v>1815</v>
      </c>
      <c r="C306" s="413"/>
      <c r="D306" s="414"/>
      <c r="E306" s="516"/>
      <c r="F306" s="302">
        <f t="shared" si="9"/>
        <v>0</v>
      </c>
    </row>
    <row r="307" spans="1:7" s="402" customFormat="1" ht="25.5">
      <c r="A307" s="357"/>
      <c r="B307" s="312" t="s">
        <v>1816</v>
      </c>
      <c r="C307" s="413"/>
      <c r="D307" s="414"/>
      <c r="E307" s="516"/>
      <c r="F307" s="302">
        <f t="shared" si="9"/>
        <v>0</v>
      </c>
    </row>
    <row r="308" spans="1:7" s="402" customFormat="1">
      <c r="A308" s="357"/>
      <c r="B308" s="312" t="s">
        <v>1817</v>
      </c>
      <c r="C308" s="413"/>
      <c r="D308" s="414"/>
      <c r="E308" s="516"/>
      <c r="F308" s="302">
        <f t="shared" si="9"/>
        <v>0</v>
      </c>
    </row>
    <row r="309" spans="1:7" s="402" customFormat="1" ht="38.25">
      <c r="A309" s="357"/>
      <c r="B309" s="312" t="s">
        <v>1818</v>
      </c>
      <c r="C309" s="413"/>
      <c r="D309" s="414"/>
      <c r="E309" s="516"/>
      <c r="F309" s="302">
        <f t="shared" si="9"/>
        <v>0</v>
      </c>
    </row>
    <row r="310" spans="1:7" s="402" customFormat="1" ht="38.25">
      <c r="A310" s="357"/>
      <c r="B310" s="312" t="s">
        <v>1819</v>
      </c>
      <c r="C310" s="413"/>
      <c r="D310" s="414"/>
      <c r="E310" s="516"/>
      <c r="F310" s="302">
        <f t="shared" si="9"/>
        <v>0</v>
      </c>
    </row>
    <row r="311" spans="1:7" s="402" customFormat="1" ht="25.5">
      <c r="A311" s="357"/>
      <c r="B311" s="312" t="s">
        <v>1820</v>
      </c>
      <c r="C311" s="413"/>
      <c r="D311" s="414"/>
      <c r="E311" s="516"/>
      <c r="F311" s="302">
        <f t="shared" si="9"/>
        <v>0</v>
      </c>
    </row>
    <row r="312" spans="1:7" s="402" customFormat="1">
      <c r="A312" s="357"/>
      <c r="B312" s="312" t="s">
        <v>1821</v>
      </c>
      <c r="C312" s="413"/>
      <c r="D312" s="414"/>
      <c r="E312" s="516"/>
      <c r="F312" s="302">
        <f t="shared" si="9"/>
        <v>0</v>
      </c>
    </row>
    <row r="313" spans="1:7" s="402" customFormat="1">
      <c r="A313" s="357"/>
      <c r="B313" s="312" t="s">
        <v>1822</v>
      </c>
      <c r="C313" s="413"/>
      <c r="D313" s="414"/>
      <c r="E313" s="516"/>
      <c r="F313" s="302">
        <f t="shared" si="9"/>
        <v>0</v>
      </c>
    </row>
    <row r="314" spans="1:7" s="402" customFormat="1" ht="38.25">
      <c r="A314" s="357"/>
      <c r="B314" s="312" t="s">
        <v>1823</v>
      </c>
      <c r="C314" s="413"/>
      <c r="D314" s="414"/>
      <c r="E314" s="516"/>
      <c r="F314" s="302">
        <f t="shared" si="9"/>
        <v>0</v>
      </c>
    </row>
    <row r="315" spans="1:7" s="402" customFormat="1" ht="51">
      <c r="A315" s="357"/>
      <c r="B315" s="312" t="s">
        <v>1824</v>
      </c>
      <c r="C315" s="413"/>
      <c r="D315" s="414"/>
      <c r="E315" s="516"/>
      <c r="F315" s="302">
        <f t="shared" si="9"/>
        <v>0</v>
      </c>
    </row>
    <row r="316" spans="1:7" s="402" customFormat="1" ht="25.5">
      <c r="A316" s="357"/>
      <c r="B316" s="312" t="s">
        <v>1826</v>
      </c>
      <c r="C316" s="413"/>
      <c r="D316" s="414"/>
      <c r="E316" s="516"/>
      <c r="F316" s="302">
        <f>D316*E316</f>
        <v>0</v>
      </c>
    </row>
    <row r="317" spans="1:7" s="402" customFormat="1">
      <c r="A317" s="357"/>
      <c r="B317" s="312" t="s">
        <v>1825</v>
      </c>
      <c r="C317" s="413"/>
      <c r="D317" s="414"/>
      <c r="E317" s="516"/>
      <c r="F317" s="302">
        <f t="shared" si="9"/>
        <v>0</v>
      </c>
    </row>
    <row r="318" spans="1:7" s="402" customFormat="1">
      <c r="A318" s="357"/>
      <c r="B318" s="312"/>
      <c r="C318" s="413" t="s">
        <v>68</v>
      </c>
      <c r="D318" s="414">
        <v>1950</v>
      </c>
      <c r="E318" s="516"/>
      <c r="F318" s="302">
        <f t="shared" si="9"/>
        <v>0</v>
      </c>
    </row>
    <row r="319" spans="1:7" s="402" customFormat="1">
      <c r="A319" s="357"/>
      <c r="B319" s="312"/>
      <c r="C319" s="413"/>
      <c r="D319" s="414"/>
      <c r="E319" s="516"/>
      <c r="F319" s="302">
        <f t="shared" si="9"/>
        <v>0</v>
      </c>
    </row>
    <row r="320" spans="1:7" s="402" customFormat="1" ht="45">
      <c r="A320" s="417">
        <v>3</v>
      </c>
      <c r="B320" s="340" t="s">
        <v>1828</v>
      </c>
      <c r="C320" s="413"/>
      <c r="D320" s="414"/>
      <c r="E320" s="516"/>
      <c r="F320" s="302">
        <f t="shared" si="9"/>
        <v>0</v>
      </c>
    </row>
    <row r="321" spans="1:6" s="402" customFormat="1" ht="25.5">
      <c r="A321" s="357"/>
      <c r="B321" s="312" t="s">
        <v>1814</v>
      </c>
      <c r="C321" s="413"/>
      <c r="D321" s="414"/>
      <c r="E321" s="516"/>
      <c r="F321" s="302">
        <f t="shared" si="9"/>
        <v>0</v>
      </c>
    </row>
    <row r="322" spans="1:6" s="402" customFormat="1">
      <c r="A322" s="357"/>
      <c r="B322" s="312" t="s">
        <v>1815</v>
      </c>
      <c r="C322" s="413"/>
      <c r="D322" s="414"/>
      <c r="E322" s="516"/>
      <c r="F322" s="302">
        <f t="shared" si="9"/>
        <v>0</v>
      </c>
    </row>
    <row r="323" spans="1:6" s="402" customFormat="1" ht="25.5">
      <c r="A323" s="357"/>
      <c r="B323" s="312" t="s">
        <v>1816</v>
      </c>
      <c r="C323" s="413"/>
      <c r="D323" s="414"/>
      <c r="E323" s="516"/>
      <c r="F323" s="302">
        <f t="shared" si="9"/>
        <v>0</v>
      </c>
    </row>
    <row r="324" spans="1:6" s="402" customFormat="1">
      <c r="A324" s="357"/>
      <c r="B324" s="312" t="s">
        <v>1817</v>
      </c>
      <c r="C324" s="413"/>
      <c r="D324" s="414"/>
      <c r="E324" s="516"/>
      <c r="F324" s="302">
        <f t="shared" si="9"/>
        <v>0</v>
      </c>
    </row>
    <row r="325" spans="1:6" s="402" customFormat="1" ht="38.25">
      <c r="A325" s="357"/>
      <c r="B325" s="312" t="s">
        <v>1818</v>
      </c>
      <c r="C325" s="413"/>
      <c r="D325" s="414"/>
      <c r="E325" s="516"/>
      <c r="F325" s="302">
        <f t="shared" si="9"/>
        <v>0</v>
      </c>
    </row>
    <row r="326" spans="1:6" s="402" customFormat="1" ht="38.25">
      <c r="A326" s="357"/>
      <c r="B326" s="312" t="s">
        <v>1819</v>
      </c>
      <c r="C326" s="413"/>
      <c r="D326" s="414"/>
      <c r="E326" s="516"/>
      <c r="F326" s="302">
        <f t="shared" si="9"/>
        <v>0</v>
      </c>
    </row>
    <row r="327" spans="1:6" s="402" customFormat="1" ht="25.5">
      <c r="A327" s="357"/>
      <c r="B327" s="312" t="s">
        <v>1820</v>
      </c>
      <c r="C327" s="413"/>
      <c r="D327" s="414"/>
      <c r="E327" s="516"/>
      <c r="F327" s="302">
        <f t="shared" si="9"/>
        <v>0</v>
      </c>
    </row>
    <row r="328" spans="1:6" s="402" customFormat="1">
      <c r="A328" s="357"/>
      <c r="B328" s="312" t="s">
        <v>1821</v>
      </c>
      <c r="C328" s="413"/>
      <c r="D328" s="414"/>
      <c r="E328" s="516"/>
      <c r="F328" s="302">
        <f t="shared" si="9"/>
        <v>0</v>
      </c>
    </row>
    <row r="329" spans="1:6" s="402" customFormat="1">
      <c r="A329" s="357"/>
      <c r="B329" s="312" t="s">
        <v>1822</v>
      </c>
      <c r="C329" s="413"/>
      <c r="D329" s="414"/>
      <c r="E329" s="516"/>
      <c r="F329" s="302">
        <f t="shared" si="9"/>
        <v>0</v>
      </c>
    </row>
    <row r="330" spans="1:6" s="402" customFormat="1" ht="38.25">
      <c r="A330" s="357"/>
      <c r="B330" s="312" t="s">
        <v>1823</v>
      </c>
      <c r="C330" s="413"/>
      <c r="D330" s="414"/>
      <c r="E330" s="516"/>
      <c r="F330" s="302">
        <f t="shared" si="9"/>
        <v>0</v>
      </c>
    </row>
    <row r="331" spans="1:6" s="402" customFormat="1" ht="51">
      <c r="A331" s="357"/>
      <c r="B331" s="312" t="s">
        <v>1824</v>
      </c>
      <c r="C331" s="413"/>
      <c r="D331" s="414"/>
      <c r="E331" s="516"/>
      <c r="F331" s="302">
        <f t="shared" si="9"/>
        <v>0</v>
      </c>
    </row>
    <row r="332" spans="1:6" s="402" customFormat="1" ht="25.5">
      <c r="A332" s="357"/>
      <c r="B332" s="312" t="s">
        <v>1826</v>
      </c>
      <c r="C332" s="413"/>
      <c r="D332" s="414"/>
      <c r="E332" s="516"/>
      <c r="F332" s="302">
        <f>D332*E332</f>
        <v>0</v>
      </c>
    </row>
    <row r="333" spans="1:6" s="402" customFormat="1">
      <c r="A333" s="357"/>
      <c r="B333" s="312" t="s">
        <v>1825</v>
      </c>
      <c r="C333" s="413"/>
      <c r="D333" s="414"/>
      <c r="E333" s="516"/>
      <c r="F333" s="302">
        <f t="shared" si="9"/>
        <v>0</v>
      </c>
    </row>
    <row r="334" spans="1:6" s="402" customFormat="1">
      <c r="A334" s="357"/>
      <c r="B334" s="312"/>
      <c r="C334" s="413" t="s">
        <v>68</v>
      </c>
      <c r="D334" s="414">
        <v>40000</v>
      </c>
      <c r="E334" s="516"/>
      <c r="F334" s="302">
        <f t="shared" si="9"/>
        <v>0</v>
      </c>
    </row>
    <row r="335" spans="1:6" s="402" customFormat="1">
      <c r="A335" s="357"/>
      <c r="B335" s="312"/>
      <c r="C335" s="413"/>
      <c r="D335" s="414"/>
      <c r="E335" s="516"/>
      <c r="F335" s="302">
        <f t="shared" si="9"/>
        <v>0</v>
      </c>
    </row>
    <row r="336" spans="1:6" s="402" customFormat="1" ht="75">
      <c r="A336" s="417">
        <v>4</v>
      </c>
      <c r="B336" s="340" t="s">
        <v>1829</v>
      </c>
      <c r="C336" s="413"/>
      <c r="D336" s="414"/>
      <c r="E336" s="516"/>
      <c r="F336" s="302">
        <f t="shared" si="9"/>
        <v>0</v>
      </c>
    </row>
    <row r="337" spans="1:6" s="402" customFormat="1" ht="38.25">
      <c r="A337" s="357"/>
      <c r="B337" s="312" t="s">
        <v>1830</v>
      </c>
      <c r="C337" s="413"/>
      <c r="D337" s="414"/>
      <c r="E337" s="516"/>
      <c r="F337" s="302">
        <f t="shared" si="9"/>
        <v>0</v>
      </c>
    </row>
    <row r="338" spans="1:6" s="402" customFormat="1">
      <c r="A338" s="357"/>
      <c r="B338" s="312" t="s">
        <v>1815</v>
      </c>
      <c r="C338" s="413"/>
      <c r="D338" s="414"/>
      <c r="E338" s="516"/>
      <c r="F338" s="302">
        <f t="shared" si="9"/>
        <v>0</v>
      </c>
    </row>
    <row r="339" spans="1:6" s="402" customFormat="1" ht="25.5">
      <c r="A339" s="357"/>
      <c r="B339" s="312" t="s">
        <v>1816</v>
      </c>
      <c r="C339" s="413"/>
      <c r="D339" s="414"/>
      <c r="E339" s="516"/>
      <c r="F339" s="302">
        <f t="shared" si="9"/>
        <v>0</v>
      </c>
    </row>
    <row r="340" spans="1:6" s="402" customFormat="1">
      <c r="A340" s="357"/>
      <c r="B340" s="312" t="s">
        <v>1817</v>
      </c>
      <c r="C340" s="413"/>
      <c r="D340" s="414"/>
      <c r="E340" s="516"/>
      <c r="F340" s="302">
        <f t="shared" si="9"/>
        <v>0</v>
      </c>
    </row>
    <row r="341" spans="1:6" s="402" customFormat="1" ht="38.25">
      <c r="A341" s="357"/>
      <c r="B341" s="312" t="s">
        <v>1818</v>
      </c>
      <c r="C341" s="413"/>
      <c r="D341" s="414"/>
      <c r="E341" s="516"/>
      <c r="F341" s="302">
        <f t="shared" si="9"/>
        <v>0</v>
      </c>
    </row>
    <row r="342" spans="1:6" s="402" customFormat="1" ht="38.25">
      <c r="A342" s="357"/>
      <c r="B342" s="312" t="s">
        <v>1819</v>
      </c>
      <c r="C342" s="413"/>
      <c r="D342" s="414"/>
      <c r="E342" s="516"/>
      <c r="F342" s="302">
        <f t="shared" si="9"/>
        <v>0</v>
      </c>
    </row>
    <row r="343" spans="1:6" s="402" customFormat="1" ht="25.5">
      <c r="A343" s="357"/>
      <c r="B343" s="312" t="s">
        <v>1820</v>
      </c>
      <c r="C343" s="413"/>
      <c r="D343" s="414"/>
      <c r="E343" s="516"/>
      <c r="F343" s="302">
        <f t="shared" si="9"/>
        <v>0</v>
      </c>
    </row>
    <row r="344" spans="1:6" s="402" customFormat="1">
      <c r="A344" s="357"/>
      <c r="B344" s="312" t="s">
        <v>1821</v>
      </c>
      <c r="C344" s="413"/>
      <c r="D344" s="414"/>
      <c r="E344" s="516"/>
      <c r="F344" s="302">
        <f t="shared" si="9"/>
        <v>0</v>
      </c>
    </row>
    <row r="345" spans="1:6" s="402" customFormat="1">
      <c r="A345" s="357"/>
      <c r="B345" s="312" t="s">
        <v>1822</v>
      </c>
      <c r="C345" s="413"/>
      <c r="D345" s="414"/>
      <c r="E345" s="516"/>
      <c r="F345" s="302">
        <f t="shared" si="9"/>
        <v>0</v>
      </c>
    </row>
    <row r="346" spans="1:6" s="402" customFormat="1" ht="38.25">
      <c r="A346" s="357"/>
      <c r="B346" s="312" t="s">
        <v>1823</v>
      </c>
      <c r="C346" s="413"/>
      <c r="D346" s="414"/>
      <c r="E346" s="516"/>
      <c r="F346" s="302">
        <f t="shared" si="9"/>
        <v>0</v>
      </c>
    </row>
    <row r="347" spans="1:6" s="402" customFormat="1" ht="51">
      <c r="A347" s="357"/>
      <c r="B347" s="312" t="s">
        <v>1824</v>
      </c>
      <c r="C347" s="413"/>
      <c r="D347" s="414"/>
      <c r="E347" s="516"/>
      <c r="F347" s="302">
        <f t="shared" si="9"/>
        <v>0</v>
      </c>
    </row>
    <row r="348" spans="1:6" s="402" customFormat="1" ht="38.25">
      <c r="A348" s="357"/>
      <c r="B348" s="312" t="s">
        <v>1943</v>
      </c>
      <c r="C348" s="413"/>
      <c r="D348" s="414"/>
      <c r="E348" s="516"/>
      <c r="F348" s="302">
        <f t="shared" si="9"/>
        <v>0</v>
      </c>
    </row>
    <row r="349" spans="1:6" s="402" customFormat="1" ht="25.5">
      <c r="A349" s="357"/>
      <c r="B349" s="312" t="s">
        <v>1826</v>
      </c>
      <c r="C349" s="413"/>
      <c r="D349" s="414"/>
      <c r="E349" s="516"/>
      <c r="F349" s="302">
        <f>D349*E349</f>
        <v>0</v>
      </c>
    </row>
    <row r="350" spans="1:6" s="402" customFormat="1">
      <c r="A350" s="357"/>
      <c r="B350" s="312" t="s">
        <v>1825</v>
      </c>
      <c r="C350" s="413"/>
      <c r="D350" s="414"/>
      <c r="E350" s="516"/>
      <c r="F350" s="302">
        <f t="shared" si="9"/>
        <v>0</v>
      </c>
    </row>
    <row r="351" spans="1:6" s="402" customFormat="1">
      <c r="A351" s="357"/>
      <c r="B351" s="312" t="s">
        <v>1831</v>
      </c>
      <c r="C351" s="413" t="s">
        <v>68</v>
      </c>
      <c r="D351" s="414">
        <v>500</v>
      </c>
      <c r="E351" s="516"/>
      <c r="F351" s="302">
        <f t="shared" si="9"/>
        <v>0</v>
      </c>
    </row>
    <row r="352" spans="1:6" s="402" customFormat="1">
      <c r="A352" s="357"/>
      <c r="B352" s="312" t="s">
        <v>1832</v>
      </c>
      <c r="C352" s="413" t="s">
        <v>68</v>
      </c>
      <c r="D352" s="414">
        <v>200</v>
      </c>
      <c r="E352" s="516"/>
      <c r="F352" s="302">
        <f t="shared" si="9"/>
        <v>0</v>
      </c>
    </row>
    <row r="353" spans="1:6" s="402" customFormat="1">
      <c r="A353" s="357"/>
      <c r="B353" s="312"/>
      <c r="C353" s="413"/>
      <c r="D353" s="414"/>
      <c r="E353" s="516"/>
      <c r="F353" s="302">
        <f t="shared" si="9"/>
        <v>0</v>
      </c>
    </row>
    <row r="354" spans="1:6" s="402" customFormat="1">
      <c r="A354" s="417">
        <v>5</v>
      </c>
      <c r="B354" s="340" t="s">
        <v>1836</v>
      </c>
      <c r="C354" s="413"/>
      <c r="D354" s="414"/>
      <c r="E354" s="516"/>
      <c r="F354" s="302">
        <f t="shared" si="9"/>
        <v>0</v>
      </c>
    </row>
    <row r="355" spans="1:6" s="402" customFormat="1" ht="114.75">
      <c r="A355" s="357"/>
      <c r="B355" s="312" t="s">
        <v>1833</v>
      </c>
      <c r="C355" s="413"/>
      <c r="D355" s="414"/>
      <c r="E355" s="516"/>
      <c r="F355" s="302">
        <f t="shared" si="9"/>
        <v>0</v>
      </c>
    </row>
    <row r="356" spans="1:6" s="402" customFormat="1">
      <c r="A356" s="357"/>
      <c r="B356" s="312" t="s">
        <v>1834</v>
      </c>
      <c r="C356" s="413"/>
      <c r="D356" s="414"/>
      <c r="E356" s="516"/>
      <c r="F356" s="302">
        <f t="shared" si="9"/>
        <v>0</v>
      </c>
    </row>
    <row r="357" spans="1:6" s="402" customFormat="1">
      <c r="A357" s="357"/>
      <c r="B357" s="312"/>
      <c r="C357" s="413" t="s">
        <v>34</v>
      </c>
      <c r="D357" s="414">
        <v>23</v>
      </c>
      <c r="E357" s="516"/>
      <c r="F357" s="302">
        <f t="shared" si="9"/>
        <v>0</v>
      </c>
    </row>
    <row r="358" spans="1:6" s="402" customFormat="1">
      <c r="A358" s="357"/>
      <c r="B358" s="312"/>
      <c r="C358" s="413"/>
      <c r="D358" s="414"/>
      <c r="E358" s="516"/>
      <c r="F358" s="302">
        <f t="shared" si="9"/>
        <v>0</v>
      </c>
    </row>
    <row r="359" spans="1:6" s="402" customFormat="1" ht="45">
      <c r="A359" s="417">
        <v>6</v>
      </c>
      <c r="B359" s="340" t="s">
        <v>1835</v>
      </c>
      <c r="C359" s="413"/>
      <c r="D359" s="414"/>
      <c r="E359" s="516"/>
      <c r="F359" s="302">
        <f t="shared" si="9"/>
        <v>0</v>
      </c>
    </row>
    <row r="360" spans="1:6" s="402" customFormat="1" ht="25.5">
      <c r="A360" s="357"/>
      <c r="B360" s="312" t="s">
        <v>1814</v>
      </c>
      <c r="C360" s="413"/>
      <c r="D360" s="414"/>
      <c r="E360" s="516"/>
      <c r="F360" s="302">
        <f t="shared" si="9"/>
        <v>0</v>
      </c>
    </row>
    <row r="361" spans="1:6" s="402" customFormat="1">
      <c r="A361" s="357"/>
      <c r="B361" s="312" t="s">
        <v>1815</v>
      </c>
      <c r="C361" s="413"/>
      <c r="D361" s="414"/>
      <c r="E361" s="516"/>
      <c r="F361" s="302">
        <f t="shared" si="9"/>
        <v>0</v>
      </c>
    </row>
    <row r="362" spans="1:6" s="402" customFormat="1" ht="25.5">
      <c r="A362" s="357"/>
      <c r="B362" s="312" t="s">
        <v>1816</v>
      </c>
      <c r="C362" s="413"/>
      <c r="D362" s="414"/>
      <c r="E362" s="516"/>
      <c r="F362" s="302">
        <f t="shared" si="9"/>
        <v>0</v>
      </c>
    </row>
    <row r="363" spans="1:6" s="402" customFormat="1">
      <c r="A363" s="357"/>
      <c r="B363" s="312" t="s">
        <v>1817</v>
      </c>
      <c r="C363" s="413"/>
      <c r="D363" s="414"/>
      <c r="E363" s="516"/>
      <c r="F363" s="302">
        <f t="shared" si="9"/>
        <v>0</v>
      </c>
    </row>
    <row r="364" spans="1:6" s="402" customFormat="1" ht="38.25">
      <c r="A364" s="357"/>
      <c r="B364" s="312" t="s">
        <v>1818</v>
      </c>
      <c r="C364" s="413"/>
      <c r="D364" s="414"/>
      <c r="E364" s="516"/>
      <c r="F364" s="302">
        <f t="shared" si="9"/>
        <v>0</v>
      </c>
    </row>
    <row r="365" spans="1:6" s="402" customFormat="1" ht="38.25">
      <c r="A365" s="357"/>
      <c r="B365" s="312" t="s">
        <v>1819</v>
      </c>
      <c r="C365" s="413"/>
      <c r="D365" s="414"/>
      <c r="E365" s="516"/>
      <c r="F365" s="302">
        <f t="shared" si="9"/>
        <v>0</v>
      </c>
    </row>
    <row r="366" spans="1:6" s="402" customFormat="1" ht="25.5">
      <c r="A366" s="357"/>
      <c r="B366" s="312" t="s">
        <v>1820</v>
      </c>
      <c r="C366" s="413"/>
      <c r="D366" s="414"/>
      <c r="E366" s="516"/>
      <c r="F366" s="302">
        <f t="shared" ref="F366:F373" si="10">D366*E366</f>
        <v>0</v>
      </c>
    </row>
    <row r="367" spans="1:6" s="402" customFormat="1">
      <c r="A367" s="357"/>
      <c r="B367" s="312" t="s">
        <v>1821</v>
      </c>
      <c r="C367" s="413"/>
      <c r="D367" s="414"/>
      <c r="E367" s="516"/>
      <c r="F367" s="302">
        <f t="shared" si="10"/>
        <v>0</v>
      </c>
    </row>
    <row r="368" spans="1:6" s="402" customFormat="1">
      <c r="A368" s="357"/>
      <c r="B368" s="312" t="s">
        <v>1822</v>
      </c>
      <c r="C368" s="413"/>
      <c r="D368" s="414"/>
      <c r="E368" s="516"/>
      <c r="F368" s="302">
        <f t="shared" si="10"/>
        <v>0</v>
      </c>
    </row>
    <row r="369" spans="1:6" s="402" customFormat="1" ht="38.25">
      <c r="A369" s="357"/>
      <c r="B369" s="312" t="s">
        <v>1823</v>
      </c>
      <c r="C369" s="413"/>
      <c r="D369" s="414"/>
      <c r="E369" s="516"/>
      <c r="F369" s="302">
        <f t="shared" si="10"/>
        <v>0</v>
      </c>
    </row>
    <row r="370" spans="1:6" s="402" customFormat="1" ht="51">
      <c r="A370" s="357"/>
      <c r="B370" s="312" t="s">
        <v>1824</v>
      </c>
      <c r="C370" s="413"/>
      <c r="D370" s="414"/>
      <c r="E370" s="516"/>
      <c r="F370" s="302">
        <f t="shared" si="10"/>
        <v>0</v>
      </c>
    </row>
    <row r="371" spans="1:6" s="402" customFormat="1" ht="25.5">
      <c r="A371" s="357"/>
      <c r="B371" s="312" t="s">
        <v>1826</v>
      </c>
      <c r="C371" s="413"/>
      <c r="D371" s="414"/>
      <c r="E371" s="516"/>
      <c r="F371" s="302"/>
    </row>
    <row r="372" spans="1:6" s="402" customFormat="1">
      <c r="A372" s="357"/>
      <c r="B372" s="312" t="s">
        <v>1825</v>
      </c>
      <c r="C372" s="413"/>
      <c r="D372" s="414"/>
      <c r="E372" s="516"/>
      <c r="F372" s="302">
        <f t="shared" si="10"/>
        <v>0</v>
      </c>
    </row>
    <row r="373" spans="1:6" s="402" customFormat="1">
      <c r="A373" s="357"/>
      <c r="B373" s="312"/>
      <c r="C373" s="413" t="s">
        <v>68</v>
      </c>
      <c r="D373" s="414">
        <v>1100</v>
      </c>
      <c r="E373" s="516"/>
      <c r="F373" s="302">
        <f t="shared" si="10"/>
        <v>0</v>
      </c>
    </row>
    <row r="374" spans="1:6" s="402" customFormat="1">
      <c r="A374" s="357"/>
      <c r="B374" s="312"/>
      <c r="C374" s="413"/>
      <c r="D374" s="414"/>
      <c r="E374" s="516"/>
      <c r="F374" s="302"/>
    </row>
    <row r="375" spans="1:6" s="402" customFormat="1" ht="45">
      <c r="A375" s="417">
        <v>7</v>
      </c>
      <c r="B375" s="340" t="s">
        <v>5497</v>
      </c>
      <c r="C375" s="413"/>
      <c r="D375" s="414"/>
      <c r="E375" s="516"/>
      <c r="F375" s="302"/>
    </row>
    <row r="376" spans="1:6" s="402" customFormat="1" ht="25.5">
      <c r="A376" s="357"/>
      <c r="B376" s="312" t="s">
        <v>1814</v>
      </c>
      <c r="C376" s="413"/>
      <c r="D376" s="414"/>
      <c r="E376" s="516"/>
      <c r="F376" s="302"/>
    </row>
    <row r="377" spans="1:6" s="402" customFormat="1">
      <c r="A377" s="357"/>
      <c r="B377" s="312" t="s">
        <v>1815</v>
      </c>
      <c r="C377" s="413"/>
      <c r="D377" s="414"/>
      <c r="E377" s="516"/>
      <c r="F377" s="302"/>
    </row>
    <row r="378" spans="1:6" s="402" customFormat="1" ht="25.5">
      <c r="A378" s="357"/>
      <c r="B378" s="312" t="s">
        <v>1816</v>
      </c>
      <c r="C378" s="413"/>
      <c r="D378" s="414"/>
      <c r="E378" s="516"/>
      <c r="F378" s="302"/>
    </row>
    <row r="379" spans="1:6" s="402" customFormat="1">
      <c r="A379" s="357"/>
      <c r="B379" s="312" t="s">
        <v>1817</v>
      </c>
      <c r="C379" s="413"/>
      <c r="D379" s="414"/>
      <c r="E379" s="516"/>
      <c r="F379" s="302"/>
    </row>
    <row r="380" spans="1:6" s="402" customFormat="1" ht="38.25">
      <c r="A380" s="357"/>
      <c r="B380" s="312" t="s">
        <v>1818</v>
      </c>
      <c r="C380" s="413"/>
      <c r="D380" s="414"/>
      <c r="E380" s="516"/>
      <c r="F380" s="302"/>
    </row>
    <row r="381" spans="1:6" s="402" customFormat="1" ht="38.25">
      <c r="A381" s="357"/>
      <c r="B381" s="312" t="s">
        <v>1819</v>
      </c>
      <c r="C381" s="413"/>
      <c r="D381" s="414"/>
      <c r="E381" s="516"/>
      <c r="F381" s="302"/>
    </row>
    <row r="382" spans="1:6" s="402" customFormat="1" ht="25.5">
      <c r="A382" s="357"/>
      <c r="B382" s="312" t="s">
        <v>1820</v>
      </c>
      <c r="C382" s="413"/>
      <c r="D382" s="414"/>
      <c r="E382" s="516"/>
      <c r="F382" s="302"/>
    </row>
    <row r="383" spans="1:6" s="402" customFormat="1">
      <c r="A383" s="357"/>
      <c r="B383" s="312" t="s">
        <v>1821</v>
      </c>
      <c r="C383" s="413"/>
      <c r="D383" s="414"/>
      <c r="E383" s="516"/>
      <c r="F383" s="302"/>
    </row>
    <row r="384" spans="1:6" s="402" customFormat="1">
      <c r="A384" s="357"/>
      <c r="B384" s="312" t="s">
        <v>1822</v>
      </c>
      <c r="C384" s="413"/>
      <c r="D384" s="414"/>
      <c r="E384" s="516"/>
      <c r="F384" s="302"/>
    </row>
    <row r="385" spans="1:6" s="402" customFormat="1" ht="38.25">
      <c r="A385" s="357"/>
      <c r="B385" s="312" t="s">
        <v>1823</v>
      </c>
      <c r="C385" s="413"/>
      <c r="D385" s="414"/>
      <c r="E385" s="516"/>
      <c r="F385" s="302"/>
    </row>
    <row r="386" spans="1:6" s="402" customFormat="1" ht="51">
      <c r="A386" s="357"/>
      <c r="B386" s="312" t="s">
        <v>1824</v>
      </c>
      <c r="C386" s="413"/>
      <c r="D386" s="414"/>
      <c r="E386" s="516"/>
      <c r="F386" s="302"/>
    </row>
    <row r="387" spans="1:6" s="402" customFormat="1" ht="25.5">
      <c r="A387" s="357"/>
      <c r="B387" s="312" t="s">
        <v>1826</v>
      </c>
      <c r="C387" s="413"/>
      <c r="D387" s="414"/>
      <c r="E387" s="516"/>
      <c r="F387" s="302"/>
    </row>
    <row r="388" spans="1:6" s="402" customFormat="1">
      <c r="A388" s="357"/>
      <c r="B388" s="312" t="s">
        <v>1825</v>
      </c>
      <c r="C388" s="413"/>
      <c r="D388" s="414"/>
      <c r="E388" s="516"/>
      <c r="F388" s="302"/>
    </row>
    <row r="389" spans="1:6" s="402" customFormat="1">
      <c r="A389" s="357"/>
      <c r="B389" s="312"/>
      <c r="C389" s="413" t="s">
        <v>68</v>
      </c>
      <c r="D389" s="414">
        <v>340</v>
      </c>
      <c r="E389" s="516"/>
      <c r="F389" s="302">
        <f t="shared" ref="F389" si="11">D389*E389</f>
        <v>0</v>
      </c>
    </row>
    <row r="390" spans="1:6" s="402" customFormat="1">
      <c r="A390" s="357"/>
      <c r="B390" s="312"/>
      <c r="C390" s="413"/>
      <c r="D390" s="414"/>
      <c r="E390" s="516"/>
      <c r="F390" s="302"/>
    </row>
    <row r="391" spans="1:6" s="402" customFormat="1" ht="45">
      <c r="A391" s="417">
        <v>8</v>
      </c>
      <c r="B391" s="340" t="s">
        <v>5498</v>
      </c>
      <c r="C391" s="413"/>
      <c r="D391" s="414"/>
      <c r="E391" s="516"/>
      <c r="F391" s="302"/>
    </row>
    <row r="392" spans="1:6" s="402" customFormat="1" ht="25.5">
      <c r="A392" s="357"/>
      <c r="B392" s="312" t="s">
        <v>1814</v>
      </c>
      <c r="C392" s="413"/>
      <c r="D392" s="414"/>
      <c r="E392" s="516"/>
      <c r="F392" s="302"/>
    </row>
    <row r="393" spans="1:6" s="402" customFormat="1">
      <c r="A393" s="357"/>
      <c r="B393" s="312" t="s">
        <v>1815</v>
      </c>
      <c r="C393" s="413"/>
      <c r="D393" s="414"/>
      <c r="E393" s="516"/>
      <c r="F393" s="302"/>
    </row>
    <row r="394" spans="1:6" s="402" customFormat="1" ht="25.5">
      <c r="A394" s="357"/>
      <c r="B394" s="312" t="s">
        <v>1816</v>
      </c>
      <c r="C394" s="413"/>
      <c r="D394" s="414"/>
      <c r="E394" s="516"/>
      <c r="F394" s="302"/>
    </row>
    <row r="395" spans="1:6" s="402" customFormat="1">
      <c r="A395" s="357"/>
      <c r="B395" s="312" t="s">
        <v>1817</v>
      </c>
      <c r="C395" s="413"/>
      <c r="D395" s="414"/>
      <c r="E395" s="516"/>
      <c r="F395" s="302"/>
    </row>
    <row r="396" spans="1:6" s="402" customFormat="1" ht="38.25">
      <c r="A396" s="357"/>
      <c r="B396" s="312" t="s">
        <v>1818</v>
      </c>
      <c r="C396" s="413"/>
      <c r="D396" s="414"/>
      <c r="E396" s="516"/>
      <c r="F396" s="302"/>
    </row>
    <row r="397" spans="1:6" s="402" customFormat="1" ht="38.25">
      <c r="A397" s="357"/>
      <c r="B397" s="312" t="s">
        <v>1819</v>
      </c>
      <c r="C397" s="413"/>
      <c r="D397" s="414"/>
      <c r="E397" s="516"/>
      <c r="F397" s="302"/>
    </row>
    <row r="398" spans="1:6" s="402" customFormat="1" ht="25.5">
      <c r="A398" s="357"/>
      <c r="B398" s="312" t="s">
        <v>1820</v>
      </c>
      <c r="C398" s="413"/>
      <c r="D398" s="414"/>
      <c r="E398" s="516"/>
      <c r="F398" s="302"/>
    </row>
    <row r="399" spans="1:6" s="402" customFormat="1">
      <c r="A399" s="357"/>
      <c r="B399" s="312" t="s">
        <v>1821</v>
      </c>
      <c r="C399" s="413"/>
      <c r="D399" s="414"/>
      <c r="E399" s="516"/>
      <c r="F399" s="302"/>
    </row>
    <row r="400" spans="1:6" s="402" customFormat="1">
      <c r="A400" s="357"/>
      <c r="B400" s="312" t="s">
        <v>1822</v>
      </c>
      <c r="C400" s="413"/>
      <c r="D400" s="414"/>
      <c r="E400" s="516"/>
      <c r="F400" s="302"/>
    </row>
    <row r="401" spans="1:6" s="402" customFormat="1" ht="38.25">
      <c r="A401" s="357"/>
      <c r="B401" s="312" t="s">
        <v>1823</v>
      </c>
      <c r="C401" s="413"/>
      <c r="D401" s="414"/>
      <c r="E401" s="516"/>
      <c r="F401" s="302"/>
    </row>
    <row r="402" spans="1:6" s="402" customFormat="1" ht="51">
      <c r="A402" s="357"/>
      <c r="B402" s="312" t="s">
        <v>1824</v>
      </c>
      <c r="C402" s="413"/>
      <c r="D402" s="414"/>
      <c r="E402" s="516"/>
      <c r="F402" s="302"/>
    </row>
    <row r="403" spans="1:6" s="402" customFormat="1" ht="25.5">
      <c r="A403" s="357"/>
      <c r="B403" s="312" t="s">
        <v>1826</v>
      </c>
      <c r="C403" s="413"/>
      <c r="D403" s="414"/>
      <c r="E403" s="516"/>
      <c r="F403" s="302"/>
    </row>
    <row r="404" spans="1:6" s="402" customFormat="1">
      <c r="A404" s="357"/>
      <c r="B404" s="312" t="s">
        <v>1825</v>
      </c>
      <c r="C404" s="413"/>
      <c r="D404" s="414"/>
      <c r="E404" s="516"/>
      <c r="F404" s="302"/>
    </row>
    <row r="405" spans="1:6" s="402" customFormat="1">
      <c r="A405" s="357"/>
      <c r="B405" s="312"/>
      <c r="C405" s="413" t="s">
        <v>68</v>
      </c>
      <c r="D405" s="414">
        <v>205</v>
      </c>
      <c r="E405" s="516"/>
      <c r="F405" s="302">
        <f t="shared" ref="F405" si="12">D405*E405</f>
        <v>0</v>
      </c>
    </row>
    <row r="406" spans="1:6" s="402" customFormat="1">
      <c r="A406" s="357"/>
      <c r="B406" s="312"/>
      <c r="C406" s="413"/>
      <c r="D406" s="414"/>
      <c r="E406" s="516"/>
      <c r="F406" s="302"/>
    </row>
    <row r="407" spans="1:6" s="402" customFormat="1">
      <c r="A407" s="289" t="s">
        <v>15</v>
      </c>
      <c r="B407" s="290" t="s">
        <v>1812</v>
      </c>
      <c r="C407" s="341"/>
      <c r="D407" s="342"/>
      <c r="E407" s="351"/>
      <c r="F407" s="343">
        <f>SUM(F298:F406)</f>
        <v>0</v>
      </c>
    </row>
    <row r="408" spans="1:6" s="402" customFormat="1">
      <c r="A408" s="336"/>
      <c r="B408" s="317"/>
      <c r="C408" s="317"/>
      <c r="D408" s="318"/>
      <c r="E408" s="45"/>
      <c r="F408" s="338"/>
    </row>
    <row r="409" spans="1:6" s="402" customFormat="1">
      <c r="A409" s="289" t="s">
        <v>13</v>
      </c>
      <c r="B409" s="369" t="s">
        <v>67</v>
      </c>
      <c r="C409" s="341"/>
      <c r="D409" s="342"/>
      <c r="E409" s="351"/>
      <c r="F409" s="389"/>
    </row>
    <row r="410" spans="1:6" s="402" customFormat="1">
      <c r="A410" s="336"/>
      <c r="B410" s="317"/>
      <c r="C410" s="317"/>
      <c r="D410" s="318"/>
      <c r="E410" s="45"/>
      <c r="F410" s="338"/>
    </row>
    <row r="411" spans="1:6" s="402" customFormat="1">
      <c r="A411" s="419">
        <v>1</v>
      </c>
      <c r="B411" s="386" t="s">
        <v>65</v>
      </c>
      <c r="C411" s="317"/>
      <c r="D411" s="318"/>
      <c r="E411" s="45"/>
      <c r="F411" s="338">
        <f t="shared" ref="F411:F412" si="13">D411*E411</f>
        <v>0</v>
      </c>
    </row>
    <row r="412" spans="1:6" s="402" customFormat="1" ht="89.25">
      <c r="A412" s="336"/>
      <c r="B412" s="406" t="s">
        <v>1863</v>
      </c>
      <c r="C412" s="317"/>
      <c r="D412" s="318"/>
      <c r="E412" s="45"/>
      <c r="F412" s="338">
        <f t="shared" si="13"/>
        <v>0</v>
      </c>
    </row>
    <row r="413" spans="1:6" s="402" customFormat="1">
      <c r="A413" s="336"/>
      <c r="B413" s="361" t="s">
        <v>64</v>
      </c>
      <c r="C413" s="286" t="s">
        <v>62</v>
      </c>
      <c r="D413" s="301">
        <f>300+300</f>
        <v>600</v>
      </c>
      <c r="E413" s="10"/>
      <c r="F413" s="338">
        <f>D413*E413</f>
        <v>0</v>
      </c>
    </row>
    <row r="414" spans="1:6" s="402" customFormat="1">
      <c r="A414" s="336"/>
      <c r="B414" s="361" t="s">
        <v>63</v>
      </c>
      <c r="C414" s="286" t="s">
        <v>62</v>
      </c>
      <c r="D414" s="301">
        <f>300+200</f>
        <v>500</v>
      </c>
      <c r="E414" s="10"/>
      <c r="F414" s="338">
        <f t="shared" ref="F414:F499" si="14">D414*E414</f>
        <v>0</v>
      </c>
    </row>
    <row r="415" spans="1:6" s="402" customFormat="1">
      <c r="A415" s="336"/>
      <c r="B415" s="361" t="s">
        <v>1862</v>
      </c>
      <c r="C415" s="286" t="s">
        <v>62</v>
      </c>
      <c r="D415" s="301">
        <v>100</v>
      </c>
      <c r="E415" s="10"/>
      <c r="F415" s="338">
        <f t="shared" si="14"/>
        <v>0</v>
      </c>
    </row>
    <row r="416" spans="1:6" s="402" customFormat="1">
      <c r="A416" s="336"/>
      <c r="B416" s="317"/>
      <c r="C416" s="317"/>
      <c r="D416" s="318"/>
      <c r="E416" s="45"/>
      <c r="F416" s="338">
        <f t="shared" si="14"/>
        <v>0</v>
      </c>
    </row>
    <row r="417" spans="1:7" s="402" customFormat="1">
      <c r="A417" s="336"/>
      <c r="B417" s="386" t="s">
        <v>415</v>
      </c>
      <c r="C417" s="317"/>
      <c r="D417" s="318"/>
      <c r="E417" s="45"/>
      <c r="F417" s="338">
        <f t="shared" si="14"/>
        <v>0</v>
      </c>
    </row>
    <row r="418" spans="1:7" s="402" customFormat="1">
      <c r="A418" s="336"/>
      <c r="B418" s="386"/>
      <c r="C418" s="317"/>
      <c r="D418" s="318"/>
      <c r="E418" s="45"/>
      <c r="F418" s="338">
        <f t="shared" si="14"/>
        <v>0</v>
      </c>
    </row>
    <row r="419" spans="1:7" s="402" customFormat="1">
      <c r="A419" s="419">
        <f>IF(B419&gt;0,MAX(A411:A418)+1,"")</f>
        <v>2</v>
      </c>
      <c r="B419" s="386" t="s">
        <v>4585</v>
      </c>
      <c r="C419" s="317"/>
      <c r="D419" s="318"/>
      <c r="E419" s="45"/>
      <c r="F419" s="338">
        <f t="shared" si="14"/>
        <v>0</v>
      </c>
    </row>
    <row r="420" spans="1:7" ht="51.75">
      <c r="A420" s="336"/>
      <c r="B420" s="422" t="s">
        <v>4584</v>
      </c>
      <c r="C420" s="317"/>
      <c r="D420" s="318"/>
      <c r="E420" s="45"/>
      <c r="F420" s="338">
        <f t="shared" si="14"/>
        <v>0</v>
      </c>
    </row>
    <row r="421" spans="1:7" ht="26.25">
      <c r="A421" s="336"/>
      <c r="B421" s="422" t="s">
        <v>4581</v>
      </c>
      <c r="C421" s="317"/>
      <c r="D421" s="318"/>
      <c r="E421" s="45"/>
      <c r="F421" s="338">
        <f t="shared" si="14"/>
        <v>0</v>
      </c>
    </row>
    <row r="422" spans="1:7" s="278" customFormat="1" ht="26.25">
      <c r="A422" s="336"/>
      <c r="B422" s="422" t="s">
        <v>416</v>
      </c>
      <c r="C422" s="317"/>
      <c r="D422" s="318"/>
      <c r="E422" s="45"/>
      <c r="F422" s="338">
        <f t="shared" si="14"/>
        <v>0</v>
      </c>
      <c r="G422" s="339"/>
    </row>
    <row r="423" spans="1:7" s="278" customFormat="1">
      <c r="A423" s="336"/>
      <c r="B423" s="423" t="s">
        <v>417</v>
      </c>
      <c r="C423" s="317"/>
      <c r="D423" s="318"/>
      <c r="E423" s="45"/>
      <c r="F423" s="338">
        <f t="shared" si="14"/>
        <v>0</v>
      </c>
      <c r="G423" s="364"/>
    </row>
    <row r="424" spans="1:7" s="278" customFormat="1">
      <c r="A424" s="336"/>
      <c r="B424" s="423" t="s">
        <v>4582</v>
      </c>
      <c r="E424" s="45"/>
      <c r="F424" s="338">
        <f t="shared" si="14"/>
        <v>0</v>
      </c>
      <c r="G424" s="364"/>
    </row>
    <row r="425" spans="1:7" s="278" customFormat="1">
      <c r="A425" s="336"/>
      <c r="B425" s="423" t="s">
        <v>4586</v>
      </c>
      <c r="C425" s="317" t="s">
        <v>66</v>
      </c>
      <c r="D425" s="318">
        <f>18.8+16.5+17+5.8+0.2+0.3+0.6</f>
        <v>59.2</v>
      </c>
      <c r="E425" s="45"/>
      <c r="F425" s="338">
        <f t="shared" si="14"/>
        <v>0</v>
      </c>
      <c r="G425" s="364"/>
    </row>
    <row r="426" spans="1:7" s="278" customFormat="1">
      <c r="A426" s="336"/>
      <c r="B426" s="423" t="s">
        <v>4587</v>
      </c>
      <c r="C426" s="317" t="s">
        <v>66</v>
      </c>
      <c r="D426" s="318">
        <v>0.8</v>
      </c>
      <c r="E426" s="45"/>
      <c r="F426" s="338">
        <f t="shared" si="14"/>
        <v>0</v>
      </c>
      <c r="G426" s="339"/>
    </row>
    <row r="427" spans="1:7" s="278" customFormat="1">
      <c r="A427" s="336"/>
      <c r="B427" s="423" t="s">
        <v>4583</v>
      </c>
      <c r="C427" s="317" t="s">
        <v>26</v>
      </c>
      <c r="D427" s="318">
        <v>11</v>
      </c>
      <c r="E427" s="45"/>
      <c r="F427" s="338">
        <f t="shared" si="14"/>
        <v>0</v>
      </c>
      <c r="G427" s="420"/>
    </row>
    <row r="428" spans="1:7" s="278" customFormat="1">
      <c r="A428" s="336"/>
      <c r="B428" s="317"/>
      <c r="C428" s="317"/>
      <c r="D428" s="318"/>
      <c r="E428" s="45"/>
      <c r="F428" s="338">
        <f t="shared" si="14"/>
        <v>0</v>
      </c>
      <c r="G428" s="421"/>
    </row>
    <row r="429" spans="1:7" s="278" customFormat="1" ht="30">
      <c r="A429" s="419">
        <f>IF(B429&gt;0,MAX(A419:A427)+1,"")</f>
        <v>3</v>
      </c>
      <c r="B429" s="392" t="s">
        <v>1275</v>
      </c>
      <c r="C429" s="317"/>
      <c r="D429" s="318"/>
      <c r="E429" s="45"/>
      <c r="F429" s="338">
        <f t="shared" si="14"/>
        <v>0</v>
      </c>
      <c r="G429" s="339"/>
    </row>
    <row r="430" spans="1:7" s="278" customFormat="1" ht="89.25">
      <c r="A430" s="336"/>
      <c r="B430" s="337" t="s">
        <v>570</v>
      </c>
      <c r="C430" s="317"/>
      <c r="D430" s="318"/>
      <c r="E430" s="45"/>
      <c r="F430" s="338">
        <f t="shared" si="14"/>
        <v>0</v>
      </c>
      <c r="G430" s="339"/>
    </row>
    <row r="431" spans="1:7" s="278" customFormat="1">
      <c r="A431" s="336"/>
      <c r="B431" s="423" t="s">
        <v>257</v>
      </c>
      <c r="C431" s="317" t="s">
        <v>66</v>
      </c>
      <c r="D431" s="318">
        <v>1.6</v>
      </c>
      <c r="E431" s="45"/>
      <c r="F431" s="338">
        <f t="shared" si="14"/>
        <v>0</v>
      </c>
      <c r="G431" s="339"/>
    </row>
    <row r="432" spans="1:7" s="278" customFormat="1">
      <c r="A432" s="336"/>
      <c r="B432" s="423"/>
      <c r="C432" s="317"/>
      <c r="D432" s="318"/>
      <c r="E432" s="45"/>
      <c r="F432" s="338">
        <f t="shared" si="14"/>
        <v>0</v>
      </c>
      <c r="G432" s="339"/>
    </row>
    <row r="433" spans="1:7" s="278" customFormat="1">
      <c r="A433" s="419">
        <f>IF(B433&gt;0,MAX(A423:A432)+1,"")</f>
        <v>4</v>
      </c>
      <c r="B433" s="392" t="s">
        <v>1491</v>
      </c>
      <c r="C433" s="317"/>
      <c r="D433" s="318"/>
      <c r="E433" s="45"/>
      <c r="F433" s="338">
        <f t="shared" si="14"/>
        <v>0</v>
      </c>
      <c r="G433" s="339"/>
    </row>
    <row r="434" spans="1:7" s="278" customFormat="1" ht="90">
      <c r="A434" s="336"/>
      <c r="B434" s="422" t="s">
        <v>1944</v>
      </c>
      <c r="C434" s="317"/>
      <c r="D434" s="318"/>
      <c r="E434" s="45"/>
      <c r="F434" s="338">
        <f t="shared" si="14"/>
        <v>0</v>
      </c>
      <c r="G434" s="339"/>
    </row>
    <row r="435" spans="1:7" s="278" customFormat="1">
      <c r="A435" s="336"/>
      <c r="B435" s="423" t="s">
        <v>1492</v>
      </c>
      <c r="C435" s="317" t="s">
        <v>66</v>
      </c>
      <c r="D435" s="318">
        <v>5</v>
      </c>
      <c r="E435" s="45"/>
      <c r="F435" s="338">
        <f t="shared" si="14"/>
        <v>0</v>
      </c>
      <c r="G435" s="339"/>
    </row>
    <row r="436" spans="1:7" s="278" customFormat="1">
      <c r="A436" s="336"/>
      <c r="B436" s="423"/>
      <c r="C436" s="317"/>
      <c r="D436" s="318"/>
      <c r="E436" s="45"/>
      <c r="F436" s="338">
        <f t="shared" si="14"/>
        <v>0</v>
      </c>
      <c r="G436" s="339"/>
    </row>
    <row r="437" spans="1:7" s="278" customFormat="1">
      <c r="A437" s="419">
        <f>IF(B437&gt;0,MAX(A430:A436)+1,"")</f>
        <v>5</v>
      </c>
      <c r="B437" s="392" t="s">
        <v>1493</v>
      </c>
      <c r="C437" s="317"/>
      <c r="D437" s="318"/>
      <c r="E437" s="45"/>
      <c r="F437" s="338">
        <f t="shared" si="14"/>
        <v>0</v>
      </c>
      <c r="G437" s="339"/>
    </row>
    <row r="438" spans="1:7" s="278" customFormat="1" ht="64.5">
      <c r="A438" s="336"/>
      <c r="B438" s="422" t="s">
        <v>1945</v>
      </c>
      <c r="C438" s="317"/>
      <c r="D438" s="318"/>
      <c r="E438" s="45"/>
      <c r="F438" s="338">
        <f t="shared" si="14"/>
        <v>0</v>
      </c>
      <c r="G438" s="339"/>
    </row>
    <row r="439" spans="1:7" s="278" customFormat="1">
      <c r="A439" s="336"/>
      <c r="B439" s="423" t="s">
        <v>257</v>
      </c>
      <c r="C439" s="317" t="s">
        <v>66</v>
      </c>
      <c r="D439" s="318">
        <v>5</v>
      </c>
      <c r="E439" s="45"/>
      <c r="F439" s="338">
        <f t="shared" si="14"/>
        <v>0</v>
      </c>
      <c r="G439" s="339"/>
    </row>
    <row r="440" spans="1:7" s="278" customFormat="1">
      <c r="A440" s="336"/>
      <c r="B440" s="423"/>
      <c r="C440" s="317"/>
      <c r="D440" s="318"/>
      <c r="E440" s="45"/>
      <c r="F440" s="338">
        <f t="shared" si="14"/>
        <v>0</v>
      </c>
      <c r="G440" s="339"/>
    </row>
    <row r="441" spans="1:7" s="278" customFormat="1">
      <c r="A441" s="419">
        <f>IF(B441&gt;0,MAX(A434:A440)+1,"")</f>
        <v>6</v>
      </c>
      <c r="B441" s="392" t="s">
        <v>1494</v>
      </c>
      <c r="C441" s="317"/>
      <c r="D441" s="318"/>
      <c r="E441" s="45"/>
      <c r="F441" s="338">
        <f t="shared" si="14"/>
        <v>0</v>
      </c>
      <c r="G441" s="339"/>
    </row>
    <row r="442" spans="1:7" s="278" customFormat="1" ht="39">
      <c r="A442" s="336"/>
      <c r="B442" s="422" t="s">
        <v>1511</v>
      </c>
      <c r="C442" s="317"/>
      <c r="D442" s="318"/>
      <c r="E442" s="45"/>
      <c r="F442" s="338">
        <f t="shared" si="14"/>
        <v>0</v>
      </c>
      <c r="G442" s="339"/>
    </row>
    <row r="443" spans="1:7" s="278" customFormat="1">
      <c r="A443" s="419"/>
      <c r="B443" s="423" t="s">
        <v>179</v>
      </c>
      <c r="C443" s="317" t="s">
        <v>34</v>
      </c>
      <c r="D443" s="318">
        <v>40</v>
      </c>
      <c r="E443" s="45"/>
      <c r="F443" s="338">
        <f t="shared" si="14"/>
        <v>0</v>
      </c>
      <c r="G443" s="339"/>
    </row>
    <row r="444" spans="1:7" s="278" customFormat="1">
      <c r="A444" s="336"/>
      <c r="B444" s="423"/>
      <c r="C444" s="317"/>
      <c r="D444" s="318"/>
      <c r="E444" s="45"/>
      <c r="F444" s="338">
        <f t="shared" si="14"/>
        <v>0</v>
      </c>
      <c r="G444" s="339"/>
    </row>
    <row r="445" spans="1:7" s="278" customFormat="1">
      <c r="A445" s="419">
        <f>IF(B445&gt;0,MAX(A438:A444)+1,"")</f>
        <v>7</v>
      </c>
      <c r="B445" s="386" t="s">
        <v>1870</v>
      </c>
      <c r="C445" s="317"/>
      <c r="D445" s="318"/>
      <c r="E445" s="45"/>
      <c r="F445" s="338">
        <f t="shared" si="14"/>
        <v>0</v>
      </c>
      <c r="G445" s="339"/>
    </row>
    <row r="446" spans="1:7" s="278" customFormat="1" ht="39">
      <c r="A446" s="336"/>
      <c r="B446" s="422" t="s">
        <v>1871</v>
      </c>
      <c r="C446" s="317"/>
      <c r="D446" s="318"/>
      <c r="E446" s="45"/>
      <c r="F446" s="338">
        <f t="shared" si="14"/>
        <v>0</v>
      </c>
      <c r="G446" s="339"/>
    </row>
    <row r="447" spans="1:7" s="278" customFormat="1">
      <c r="A447" s="336"/>
      <c r="B447" s="423" t="s">
        <v>1869</v>
      </c>
      <c r="C447" s="317"/>
      <c r="D447" s="318"/>
      <c r="E447" s="45"/>
      <c r="F447" s="338">
        <f t="shared" si="14"/>
        <v>0</v>
      </c>
      <c r="G447" s="339"/>
    </row>
    <row r="448" spans="1:7" s="278" customFormat="1">
      <c r="A448" s="299"/>
      <c r="B448" s="322" t="s">
        <v>1865</v>
      </c>
      <c r="C448" s="300" t="s">
        <v>34</v>
      </c>
      <c r="D448" s="424">
        <v>40</v>
      </c>
      <c r="E448" s="517"/>
      <c r="F448" s="338">
        <f t="shared" si="14"/>
        <v>0</v>
      </c>
      <c r="G448" s="359"/>
    </row>
    <row r="449" spans="1:7" s="278" customFormat="1">
      <c r="A449" s="299"/>
      <c r="B449" s="322" t="s">
        <v>1866</v>
      </c>
      <c r="C449" s="300" t="s">
        <v>34</v>
      </c>
      <c r="D449" s="424">
        <v>20</v>
      </c>
      <c r="E449" s="517"/>
      <c r="F449" s="338">
        <f t="shared" si="14"/>
        <v>0</v>
      </c>
      <c r="G449" s="339"/>
    </row>
    <row r="450" spans="1:7" s="278" customFormat="1">
      <c r="A450" s="299"/>
      <c r="B450" s="322" t="s">
        <v>1867</v>
      </c>
      <c r="C450" s="300" t="s">
        <v>26</v>
      </c>
      <c r="D450" s="424">
        <v>300</v>
      </c>
      <c r="E450" s="517"/>
      <c r="F450" s="338">
        <f t="shared" si="14"/>
        <v>0</v>
      </c>
      <c r="G450" s="359"/>
    </row>
    <row r="451" spans="1:7" s="278" customFormat="1">
      <c r="A451" s="336"/>
      <c r="B451" s="423"/>
      <c r="C451" s="317"/>
      <c r="D451" s="318"/>
      <c r="E451" s="45"/>
      <c r="F451" s="338">
        <f t="shared" si="14"/>
        <v>0</v>
      </c>
      <c r="G451" s="339"/>
    </row>
    <row r="452" spans="1:7" s="278" customFormat="1">
      <c r="A452" s="419">
        <f>IF(B452&gt;0,MAX(A445:A451)+1,"")</f>
        <v>8</v>
      </c>
      <c r="B452" s="386" t="s">
        <v>1897</v>
      </c>
      <c r="C452" s="317"/>
      <c r="D452" s="318"/>
      <c r="E452" s="45"/>
      <c r="F452" s="338">
        <f t="shared" si="14"/>
        <v>0</v>
      </c>
      <c r="G452" s="359"/>
    </row>
    <row r="453" spans="1:7" s="278" customFormat="1" ht="77.25">
      <c r="A453" s="336"/>
      <c r="B453" s="422" t="s">
        <v>1896</v>
      </c>
      <c r="C453" s="317"/>
      <c r="D453" s="318"/>
      <c r="E453" s="45"/>
      <c r="F453" s="338">
        <f t="shared" si="14"/>
        <v>0</v>
      </c>
      <c r="G453" s="339"/>
    </row>
    <row r="454" spans="1:7" s="278" customFormat="1">
      <c r="A454" s="336"/>
      <c r="B454" s="423" t="s">
        <v>128</v>
      </c>
      <c r="C454" s="317" t="s">
        <v>26</v>
      </c>
      <c r="D454" s="318">
        <v>50</v>
      </c>
      <c r="E454" s="45"/>
      <c r="F454" s="338">
        <f t="shared" si="14"/>
        <v>0</v>
      </c>
      <c r="G454" s="339"/>
    </row>
    <row r="455" spans="1:7" s="278" customFormat="1">
      <c r="A455" s="299"/>
      <c r="B455" s="322"/>
      <c r="C455" s="300"/>
      <c r="D455" s="424"/>
      <c r="E455" s="517"/>
      <c r="F455" s="338">
        <f t="shared" si="14"/>
        <v>0</v>
      </c>
      <c r="G455" s="339"/>
    </row>
    <row r="456" spans="1:7" s="278" customFormat="1">
      <c r="A456" s="419">
        <f>IF(B456&gt;0,MAX(A447:A455)+1,"")</f>
        <v>9</v>
      </c>
      <c r="B456" s="425" t="s">
        <v>2098</v>
      </c>
      <c r="C456" s="318"/>
      <c r="D456" s="318"/>
      <c r="E456" s="45"/>
      <c r="F456" s="338">
        <f t="shared" si="14"/>
        <v>0</v>
      </c>
      <c r="G456" s="359"/>
    </row>
    <row r="457" spans="1:7" s="278" customFormat="1" ht="76.5">
      <c r="A457" s="417"/>
      <c r="B457" s="406" t="s">
        <v>2099</v>
      </c>
      <c r="C457" s="318"/>
      <c r="D457" s="318"/>
      <c r="E457" s="45"/>
      <c r="F457" s="338">
        <f t="shared" si="14"/>
        <v>0</v>
      </c>
      <c r="G457" s="339"/>
    </row>
    <row r="458" spans="1:7" s="278" customFormat="1">
      <c r="A458" s="336"/>
      <c r="B458" s="337" t="s">
        <v>2100</v>
      </c>
      <c r="C458" s="317"/>
      <c r="D458" s="318"/>
      <c r="E458" s="45"/>
      <c r="F458" s="338">
        <f t="shared" ref="F458" si="15">D458*E458</f>
        <v>0</v>
      </c>
      <c r="G458" s="339"/>
    </row>
    <row r="459" spans="1:7" s="278" customFormat="1">
      <c r="A459" s="417"/>
      <c r="B459" s="361" t="s">
        <v>28</v>
      </c>
      <c r="C459" s="318" t="s">
        <v>27</v>
      </c>
      <c r="D459" s="318">
        <f>7.6+54.9</f>
        <v>62.5</v>
      </c>
      <c r="E459" s="10"/>
      <c r="F459" s="338">
        <f t="shared" si="14"/>
        <v>0</v>
      </c>
      <c r="G459" s="339"/>
    </row>
    <row r="460" spans="1:7" s="278" customFormat="1">
      <c r="A460" s="417"/>
      <c r="B460" s="361"/>
      <c r="C460" s="318"/>
      <c r="D460" s="318"/>
      <c r="E460" s="10"/>
      <c r="F460" s="338">
        <f t="shared" si="14"/>
        <v>0</v>
      </c>
      <c r="G460" s="339"/>
    </row>
    <row r="461" spans="1:7" s="278" customFormat="1">
      <c r="A461" s="419">
        <f>IF(B461&gt;0,MAX(A452:A460)+1,"")</f>
        <v>10</v>
      </c>
      <c r="B461" s="386" t="s">
        <v>5590</v>
      </c>
      <c r="C461" s="318"/>
      <c r="D461" s="318"/>
      <c r="E461" s="10"/>
      <c r="F461" s="338">
        <f t="shared" si="14"/>
        <v>0</v>
      </c>
      <c r="G461" s="339"/>
    </row>
    <row r="462" spans="1:7" s="278" customFormat="1" ht="51">
      <c r="A462" s="417"/>
      <c r="B462" s="361" t="s">
        <v>5591</v>
      </c>
      <c r="C462" s="318"/>
      <c r="D462" s="318"/>
      <c r="E462" s="10"/>
      <c r="F462" s="338">
        <f t="shared" si="14"/>
        <v>0</v>
      </c>
      <c r="G462" s="339"/>
    </row>
    <row r="463" spans="1:7" s="278" customFormat="1">
      <c r="A463" s="417"/>
      <c r="B463" s="361" t="s">
        <v>128</v>
      </c>
      <c r="C463" s="318" t="s">
        <v>26</v>
      </c>
      <c r="D463" s="318">
        <v>30</v>
      </c>
      <c r="E463" s="10"/>
      <c r="F463" s="338">
        <f t="shared" si="14"/>
        <v>0</v>
      </c>
      <c r="G463" s="339"/>
    </row>
    <row r="464" spans="1:7" s="278" customFormat="1">
      <c r="A464" s="417"/>
      <c r="B464" s="361"/>
      <c r="C464" s="318"/>
      <c r="D464" s="318"/>
      <c r="E464" s="10"/>
      <c r="F464" s="338">
        <f t="shared" si="14"/>
        <v>0</v>
      </c>
      <c r="G464" s="339"/>
    </row>
    <row r="465" spans="1:8" s="278" customFormat="1">
      <c r="A465" s="336"/>
      <c r="B465" s="386" t="s">
        <v>185</v>
      </c>
      <c r="C465" s="317"/>
      <c r="D465" s="318"/>
      <c r="E465" s="45"/>
      <c r="F465" s="338">
        <f t="shared" si="14"/>
        <v>0</v>
      </c>
    </row>
    <row r="466" spans="1:8" s="278" customFormat="1">
      <c r="A466" s="336"/>
      <c r="B466" s="386"/>
      <c r="C466" s="317"/>
      <c r="D466" s="318"/>
      <c r="E466" s="45"/>
      <c r="F466" s="338">
        <f t="shared" si="14"/>
        <v>0</v>
      </c>
    </row>
    <row r="467" spans="1:8" s="278" customFormat="1" ht="90">
      <c r="A467" s="336"/>
      <c r="B467" s="426" t="s">
        <v>487</v>
      </c>
      <c r="C467" s="317"/>
      <c r="D467" s="318"/>
      <c r="E467" s="45"/>
      <c r="F467" s="338">
        <f t="shared" si="14"/>
        <v>0</v>
      </c>
    </row>
    <row r="468" spans="1:8" s="278" customFormat="1">
      <c r="A468" s="336"/>
      <c r="B468" s="386"/>
      <c r="C468" s="317"/>
      <c r="D468" s="318"/>
      <c r="E468" s="45"/>
      <c r="F468" s="338">
        <f t="shared" si="14"/>
        <v>0</v>
      </c>
      <c r="G468" s="339"/>
    </row>
    <row r="469" spans="1:8" s="278" customFormat="1">
      <c r="A469" s="419">
        <f>IF(B469&gt;0,MAX(A440:A468)+1,"")</f>
        <v>11</v>
      </c>
      <c r="B469" s="386" t="s">
        <v>457</v>
      </c>
      <c r="C469" s="317"/>
      <c r="D469" s="318"/>
      <c r="E469" s="45"/>
      <c r="F469" s="338">
        <f t="shared" si="14"/>
        <v>0</v>
      </c>
      <c r="G469" s="339"/>
    </row>
    <row r="470" spans="1:8" s="278" customFormat="1" ht="51">
      <c r="A470" s="336"/>
      <c r="B470" s="337" t="s">
        <v>424</v>
      </c>
      <c r="C470" s="317"/>
      <c r="D470" s="318"/>
      <c r="E470" s="45"/>
      <c r="F470" s="338">
        <f t="shared" si="14"/>
        <v>0</v>
      </c>
      <c r="G470" s="364"/>
    </row>
    <row r="471" spans="1:8" s="278" customFormat="1">
      <c r="A471" s="336"/>
      <c r="B471" s="337" t="s">
        <v>456</v>
      </c>
      <c r="C471" s="317"/>
      <c r="D471" s="318"/>
      <c r="E471" s="45"/>
      <c r="F471" s="338">
        <f t="shared" si="14"/>
        <v>0</v>
      </c>
      <c r="G471" s="339"/>
    </row>
    <row r="472" spans="1:8" s="278" customFormat="1">
      <c r="A472" s="336"/>
      <c r="B472" s="423" t="s">
        <v>423</v>
      </c>
      <c r="C472" s="317" t="s">
        <v>27</v>
      </c>
      <c r="D472" s="318">
        <v>608.5</v>
      </c>
      <c r="E472" s="45"/>
      <c r="F472" s="338">
        <f t="shared" si="14"/>
        <v>0</v>
      </c>
    </row>
    <row r="473" spans="1:8" s="339" customFormat="1">
      <c r="A473" s="336"/>
      <c r="B473" s="386"/>
      <c r="C473" s="317"/>
      <c r="D473" s="318"/>
      <c r="E473" s="45"/>
      <c r="F473" s="338">
        <f t="shared" si="14"/>
        <v>0</v>
      </c>
    </row>
    <row r="474" spans="1:8" s="339" customFormat="1" ht="30">
      <c r="A474" s="419">
        <f>IF(B474&gt;0,MAX(A465:A473)+1,"")</f>
        <v>12</v>
      </c>
      <c r="B474" s="392" t="s">
        <v>1326</v>
      </c>
      <c r="C474" s="317"/>
      <c r="D474" s="318"/>
      <c r="E474" s="45"/>
      <c r="F474" s="338">
        <f t="shared" si="14"/>
        <v>0</v>
      </c>
      <c r="H474" s="359"/>
    </row>
    <row r="475" spans="1:8" s="278" customFormat="1" ht="102">
      <c r="A475" s="336"/>
      <c r="B475" s="337" t="s">
        <v>1517</v>
      </c>
      <c r="C475" s="317"/>
      <c r="D475" s="318"/>
      <c r="E475" s="45"/>
      <c r="F475" s="338">
        <f t="shared" si="14"/>
        <v>0</v>
      </c>
      <c r="G475" s="339"/>
    </row>
    <row r="476" spans="1:8" s="339" customFormat="1">
      <c r="A476" s="336"/>
      <c r="B476" s="337" t="s">
        <v>497</v>
      </c>
      <c r="C476" s="317"/>
      <c r="D476" s="318"/>
      <c r="E476" s="45"/>
      <c r="F476" s="338">
        <f t="shared" si="14"/>
        <v>0</v>
      </c>
    </row>
    <row r="477" spans="1:8" s="339" customFormat="1">
      <c r="A477" s="336"/>
      <c r="B477" s="423" t="s">
        <v>423</v>
      </c>
      <c r="C477" s="317" t="s">
        <v>27</v>
      </c>
      <c r="D477" s="318">
        <f>286.5+39.2</f>
        <v>325.7</v>
      </c>
      <c r="E477" s="45"/>
      <c r="F477" s="338">
        <f t="shared" si="14"/>
        <v>0</v>
      </c>
    </row>
    <row r="478" spans="1:8" s="278" customFormat="1">
      <c r="A478" s="336"/>
      <c r="B478" s="423"/>
      <c r="C478" s="317"/>
      <c r="D478" s="318"/>
      <c r="E478" s="45"/>
      <c r="F478" s="338">
        <f t="shared" si="14"/>
        <v>0</v>
      </c>
      <c r="G478" s="339"/>
    </row>
    <row r="479" spans="1:8" s="278" customFormat="1" ht="30">
      <c r="A479" s="419">
        <f>IF(B479&gt;0,MAX(A470:A478)+1,"")</f>
        <v>13</v>
      </c>
      <c r="B479" s="392" t="s">
        <v>1327</v>
      </c>
      <c r="C479" s="317"/>
      <c r="D479" s="318"/>
      <c r="E479" s="45"/>
      <c r="F479" s="338">
        <f t="shared" si="14"/>
        <v>0</v>
      </c>
      <c r="G479" s="339"/>
    </row>
    <row r="480" spans="1:8" s="278" customFormat="1" ht="153">
      <c r="A480" s="336"/>
      <c r="B480" s="337" t="s">
        <v>5506</v>
      </c>
      <c r="C480" s="317"/>
      <c r="D480" s="318"/>
      <c r="E480" s="45"/>
      <c r="F480" s="338">
        <f t="shared" si="14"/>
        <v>0</v>
      </c>
      <c r="G480" s="359"/>
    </row>
    <row r="481" spans="1:7" s="278" customFormat="1">
      <c r="A481" s="336"/>
      <c r="B481" s="337" t="s">
        <v>497</v>
      </c>
      <c r="C481" s="317"/>
      <c r="D481" s="318"/>
      <c r="E481" s="45"/>
      <c r="F481" s="338">
        <f t="shared" si="14"/>
        <v>0</v>
      </c>
      <c r="G481" s="339"/>
    </row>
    <row r="482" spans="1:7" s="278" customFormat="1">
      <c r="A482" s="336"/>
      <c r="B482" s="423" t="s">
        <v>423</v>
      </c>
      <c r="C482" s="317" t="s">
        <v>27</v>
      </c>
      <c r="D482" s="318">
        <f>286.5+39.2</f>
        <v>325.7</v>
      </c>
      <c r="E482" s="45"/>
      <c r="F482" s="338">
        <f t="shared" si="14"/>
        <v>0</v>
      </c>
      <c r="G482" s="339"/>
    </row>
    <row r="483" spans="1:7" s="278" customFormat="1">
      <c r="A483" s="336"/>
      <c r="B483" s="423"/>
      <c r="C483" s="317"/>
      <c r="D483" s="318"/>
      <c r="E483" s="45"/>
      <c r="F483" s="338">
        <f t="shared" si="14"/>
        <v>0</v>
      </c>
      <c r="G483" s="339"/>
    </row>
    <row r="484" spans="1:7" s="278" customFormat="1">
      <c r="A484" s="419">
        <f>IF(B484&gt;0,MAX(A475:A483)+1,"")</f>
        <v>14</v>
      </c>
      <c r="B484" s="392" t="s">
        <v>2183</v>
      </c>
      <c r="C484" s="317"/>
      <c r="D484" s="318"/>
      <c r="E484" s="45"/>
      <c r="F484" s="338">
        <f t="shared" ref="F484:F493" si="16">D484*E484</f>
        <v>0</v>
      </c>
      <c r="G484" s="339"/>
    </row>
    <row r="485" spans="1:7" s="278" customFormat="1" ht="89.25">
      <c r="A485" s="336"/>
      <c r="B485" s="337" t="s">
        <v>2184</v>
      </c>
      <c r="C485" s="317"/>
      <c r="D485" s="318"/>
      <c r="E485" s="45"/>
      <c r="F485" s="338">
        <f t="shared" si="16"/>
        <v>0</v>
      </c>
      <c r="G485" s="339"/>
    </row>
    <row r="486" spans="1:7" s="278" customFormat="1">
      <c r="A486" s="336"/>
      <c r="B486" s="337" t="s">
        <v>306</v>
      </c>
      <c r="C486" s="317"/>
      <c r="D486" s="318"/>
      <c r="E486" s="45"/>
      <c r="F486" s="338">
        <f t="shared" si="16"/>
        <v>0</v>
      </c>
      <c r="G486" s="339"/>
    </row>
    <row r="487" spans="1:7" s="278" customFormat="1">
      <c r="A487" s="336"/>
      <c r="B487" s="423" t="s">
        <v>214</v>
      </c>
      <c r="C487" s="317" t="s">
        <v>27</v>
      </c>
      <c r="D487" s="318">
        <v>125</v>
      </c>
      <c r="E487" s="45"/>
      <c r="F487" s="338">
        <f>D487*E487</f>
        <v>0</v>
      </c>
      <c r="G487" s="339"/>
    </row>
    <row r="488" spans="1:7" s="278" customFormat="1">
      <c r="A488" s="336"/>
      <c r="B488" s="423"/>
      <c r="C488" s="317"/>
      <c r="D488" s="318"/>
      <c r="E488" s="45"/>
      <c r="F488" s="338">
        <f t="shared" si="16"/>
        <v>0</v>
      </c>
      <c r="G488" s="339"/>
    </row>
    <row r="489" spans="1:7" s="278" customFormat="1">
      <c r="A489" s="419">
        <f>IF(B489&gt;0,MAX(A480:A488)+1,"")</f>
        <v>15</v>
      </c>
      <c r="B489" s="392" t="s">
        <v>2185</v>
      </c>
      <c r="C489" s="317"/>
      <c r="D489" s="318"/>
      <c r="E489" s="45"/>
      <c r="F489" s="338">
        <f t="shared" si="16"/>
        <v>0</v>
      </c>
      <c r="G489" s="339"/>
    </row>
    <row r="490" spans="1:7" s="278" customFormat="1" ht="153">
      <c r="A490" s="336"/>
      <c r="B490" s="337" t="s">
        <v>1518</v>
      </c>
      <c r="C490" s="317"/>
      <c r="D490" s="318"/>
      <c r="E490" s="45"/>
      <c r="F490" s="338">
        <f t="shared" si="16"/>
        <v>0</v>
      </c>
      <c r="G490" s="339"/>
    </row>
    <row r="491" spans="1:7" s="278" customFormat="1">
      <c r="A491" s="336"/>
      <c r="B491" s="337" t="s">
        <v>306</v>
      </c>
      <c r="C491" s="317"/>
      <c r="D491" s="318"/>
      <c r="E491" s="45"/>
      <c r="F491" s="338">
        <f t="shared" si="16"/>
        <v>0</v>
      </c>
      <c r="G491" s="339"/>
    </row>
    <row r="492" spans="1:7" s="278" customFormat="1">
      <c r="A492" s="336"/>
      <c r="B492" s="423" t="s">
        <v>423</v>
      </c>
      <c r="C492" s="317" t="s">
        <v>27</v>
      </c>
      <c r="D492" s="318">
        <v>125</v>
      </c>
      <c r="E492" s="45"/>
      <c r="F492" s="338">
        <f t="shared" si="16"/>
        <v>0</v>
      </c>
      <c r="G492" s="339"/>
    </row>
    <row r="493" spans="1:7" s="278" customFormat="1">
      <c r="A493" s="336"/>
      <c r="B493" s="423"/>
      <c r="C493" s="317"/>
      <c r="D493" s="318"/>
      <c r="E493" s="45"/>
      <c r="F493" s="338">
        <f t="shared" si="16"/>
        <v>0</v>
      </c>
      <c r="G493" s="339"/>
    </row>
    <row r="494" spans="1:7" s="278" customFormat="1">
      <c r="A494" s="419">
        <f>IF(B494&gt;0,MAX(A475:A490)+1,"")</f>
        <v>16</v>
      </c>
      <c r="B494" s="425" t="s">
        <v>186</v>
      </c>
      <c r="C494" s="318"/>
      <c r="D494" s="318"/>
      <c r="E494" s="45"/>
      <c r="F494" s="338">
        <f t="shared" si="14"/>
        <v>0</v>
      </c>
      <c r="G494" s="339"/>
    </row>
    <row r="495" spans="1:7" s="278" customFormat="1" ht="114.75">
      <c r="A495" s="417"/>
      <c r="B495" s="406" t="s">
        <v>439</v>
      </c>
      <c r="C495" s="318"/>
      <c r="D495" s="318"/>
      <c r="E495" s="45"/>
      <c r="F495" s="338">
        <f t="shared" si="14"/>
        <v>0</v>
      </c>
      <c r="G495" s="339"/>
    </row>
    <row r="496" spans="1:7" s="278" customFormat="1">
      <c r="A496" s="417"/>
      <c r="B496" s="361" t="s">
        <v>485</v>
      </c>
      <c r="C496" s="318"/>
      <c r="D496" s="318"/>
      <c r="E496" s="10"/>
      <c r="F496" s="338">
        <f t="shared" si="14"/>
        <v>0</v>
      </c>
      <c r="G496" s="339"/>
    </row>
    <row r="497" spans="1:7" s="278" customFormat="1">
      <c r="A497" s="427"/>
      <c r="B497" s="361" t="s">
        <v>231</v>
      </c>
      <c r="C497" s="368" t="s">
        <v>27</v>
      </c>
      <c r="D497" s="301">
        <f>608.5+950.7+743.5+746+42.7+7.3+19.9+21.3</f>
        <v>3139.9</v>
      </c>
      <c r="E497" s="7"/>
      <c r="F497" s="338">
        <f t="shared" si="14"/>
        <v>0</v>
      </c>
      <c r="G497" s="339"/>
    </row>
    <row r="498" spans="1:7" s="278" customFormat="1">
      <c r="A498" s="417"/>
      <c r="B498" s="361" t="s">
        <v>486</v>
      </c>
      <c r="C498" s="368" t="s">
        <v>27</v>
      </c>
      <c r="D498" s="301">
        <f>7.6</f>
        <v>7.6</v>
      </c>
      <c r="E498" s="10"/>
      <c r="F498" s="338">
        <f t="shared" si="14"/>
        <v>0</v>
      </c>
      <c r="G498" s="339"/>
    </row>
    <row r="499" spans="1:7" s="278" customFormat="1">
      <c r="A499" s="427"/>
      <c r="B499" s="428"/>
      <c r="C499" s="429"/>
      <c r="D499" s="306"/>
      <c r="E499" s="7"/>
      <c r="F499" s="338">
        <f t="shared" si="14"/>
        <v>0</v>
      </c>
      <c r="G499" s="339"/>
    </row>
    <row r="500" spans="1:7" s="278" customFormat="1">
      <c r="A500" s="419">
        <f>IF(B500&gt;0,MAX(A481:A499)+1,"")</f>
        <v>17</v>
      </c>
      <c r="B500" s="425" t="s">
        <v>438</v>
      </c>
      <c r="C500" s="318"/>
      <c r="D500" s="318"/>
      <c r="E500" s="45"/>
      <c r="F500" s="338">
        <f t="shared" ref="F500:F574" si="17">D500*E500</f>
        <v>0</v>
      </c>
      <c r="G500" s="339"/>
    </row>
    <row r="501" spans="1:7" s="278" customFormat="1" ht="114.75">
      <c r="A501" s="417"/>
      <c r="B501" s="406" t="s">
        <v>2097</v>
      </c>
      <c r="C501" s="318"/>
      <c r="D501" s="318"/>
      <c r="E501" s="45"/>
      <c r="F501" s="338">
        <f t="shared" si="17"/>
        <v>0</v>
      </c>
      <c r="G501" s="339"/>
    </row>
    <row r="502" spans="1:7" s="278" customFormat="1">
      <c r="A502" s="417"/>
      <c r="B502" s="361" t="s">
        <v>440</v>
      </c>
      <c r="C502" s="318" t="s">
        <v>27</v>
      </c>
      <c r="D502" s="318">
        <f>252.3+278.8+271.6+84.1</f>
        <v>886.8</v>
      </c>
      <c r="E502" s="10"/>
      <c r="F502" s="338">
        <f t="shared" si="17"/>
        <v>0</v>
      </c>
      <c r="G502" s="339"/>
    </row>
    <row r="503" spans="1:7" s="278" customFormat="1">
      <c r="A503" s="417"/>
      <c r="B503" s="361"/>
      <c r="C503" s="318"/>
      <c r="D503" s="318"/>
      <c r="E503" s="10"/>
      <c r="F503" s="338">
        <f t="shared" si="17"/>
        <v>0</v>
      </c>
      <c r="G503" s="339"/>
    </row>
    <row r="504" spans="1:7" s="278" customFormat="1">
      <c r="A504" s="419">
        <f>IF(B504&gt;0,MAX(A495:A503)+1,"")</f>
        <v>18</v>
      </c>
      <c r="B504" s="425" t="s">
        <v>2101</v>
      </c>
      <c r="C504" s="318"/>
      <c r="D504" s="318"/>
      <c r="E504" s="45"/>
      <c r="F504" s="338">
        <f t="shared" ref="F504:F512" si="18">D504*E504</f>
        <v>0</v>
      </c>
      <c r="G504" s="339"/>
    </row>
    <row r="505" spans="1:7" s="278" customFormat="1" ht="114.75">
      <c r="A505" s="417"/>
      <c r="B505" s="406" t="s">
        <v>2102</v>
      </c>
      <c r="C505" s="318"/>
      <c r="D505" s="318"/>
      <c r="E505" s="45"/>
      <c r="F505" s="338">
        <f t="shared" si="18"/>
        <v>0</v>
      </c>
      <c r="G505" s="339"/>
    </row>
    <row r="506" spans="1:7" s="278" customFormat="1">
      <c r="A506" s="336"/>
      <c r="B506" s="304" t="s">
        <v>2103</v>
      </c>
      <c r="C506" s="286"/>
      <c r="D506" s="301"/>
      <c r="E506" s="10"/>
      <c r="F506" s="338">
        <f t="shared" si="18"/>
        <v>0</v>
      </c>
      <c r="G506" s="339"/>
    </row>
    <row r="507" spans="1:7" s="339" customFormat="1">
      <c r="A507" s="417"/>
      <c r="B507" s="361" t="s">
        <v>440</v>
      </c>
      <c r="C507" s="318" t="s">
        <v>27</v>
      </c>
      <c r="D507" s="318">
        <v>388.1</v>
      </c>
      <c r="E507" s="10"/>
      <c r="F507" s="338">
        <f t="shared" si="18"/>
        <v>0</v>
      </c>
    </row>
    <row r="508" spans="1:7" s="339" customFormat="1">
      <c r="A508" s="417"/>
      <c r="B508" s="361"/>
      <c r="C508" s="318"/>
      <c r="D508" s="318"/>
      <c r="E508" s="10"/>
      <c r="F508" s="338">
        <f t="shared" si="18"/>
        <v>0</v>
      </c>
    </row>
    <row r="509" spans="1:7" s="339" customFormat="1">
      <c r="A509" s="419">
        <f>IF(B509&gt;0,MAX(A500:A508)+1,"")</f>
        <v>19</v>
      </c>
      <c r="B509" s="425" t="s">
        <v>5610</v>
      </c>
      <c r="C509" s="318"/>
      <c r="D509" s="318"/>
      <c r="E509" s="10"/>
      <c r="F509" s="338">
        <f t="shared" si="18"/>
        <v>0</v>
      </c>
    </row>
    <row r="510" spans="1:7" s="339" customFormat="1" ht="76.5">
      <c r="A510" s="417"/>
      <c r="B510" s="361" t="s">
        <v>5611</v>
      </c>
      <c r="C510" s="318"/>
      <c r="D510" s="318"/>
      <c r="E510" s="10"/>
      <c r="F510" s="338">
        <f t="shared" si="18"/>
        <v>0</v>
      </c>
    </row>
    <row r="511" spans="1:7" s="339" customFormat="1">
      <c r="A511" s="417"/>
      <c r="B511" s="361" t="s">
        <v>28</v>
      </c>
      <c r="C511" s="318" t="s">
        <v>27</v>
      </c>
      <c r="D511" s="318">
        <v>50</v>
      </c>
      <c r="E511" s="10"/>
      <c r="F511" s="338">
        <f t="shared" si="18"/>
        <v>0</v>
      </c>
    </row>
    <row r="512" spans="1:7" s="339" customFormat="1">
      <c r="A512" s="417"/>
      <c r="B512" s="361"/>
      <c r="C512" s="318"/>
      <c r="D512" s="318"/>
      <c r="E512" s="10"/>
      <c r="F512" s="338">
        <f t="shared" si="18"/>
        <v>0</v>
      </c>
    </row>
    <row r="513" spans="1:8" s="339" customFormat="1">
      <c r="A513" s="336"/>
      <c r="B513" s="386" t="s">
        <v>2096</v>
      </c>
      <c r="C513" s="317"/>
      <c r="D513" s="318"/>
      <c r="E513" s="45"/>
      <c r="F513" s="338">
        <f t="shared" si="17"/>
        <v>0</v>
      </c>
    </row>
    <row r="514" spans="1:8" s="359" customFormat="1">
      <c r="A514" s="336"/>
      <c r="B514" s="386"/>
      <c r="C514" s="317"/>
      <c r="D514" s="318"/>
      <c r="E514" s="45"/>
      <c r="F514" s="338">
        <f t="shared" si="17"/>
        <v>0</v>
      </c>
    </row>
    <row r="515" spans="1:8" s="339" customFormat="1">
      <c r="A515" s="419">
        <f>IF(B515&gt;0,MAX(A497:A514)+1,"")</f>
        <v>20</v>
      </c>
      <c r="B515" s="386" t="s">
        <v>295</v>
      </c>
      <c r="C515" s="286"/>
      <c r="D515" s="301"/>
      <c r="E515" s="10"/>
      <c r="F515" s="338">
        <f t="shared" si="17"/>
        <v>0</v>
      </c>
    </row>
    <row r="516" spans="1:8" s="359" customFormat="1" ht="76.5">
      <c r="A516" s="336"/>
      <c r="B516" s="406" t="s">
        <v>236</v>
      </c>
      <c r="C516" s="286"/>
      <c r="D516" s="301"/>
      <c r="E516" s="10"/>
      <c r="F516" s="338">
        <f t="shared" si="17"/>
        <v>0</v>
      </c>
    </row>
    <row r="517" spans="1:8" s="339" customFormat="1" ht="89.25">
      <c r="A517" s="336"/>
      <c r="B517" s="406" t="s">
        <v>296</v>
      </c>
      <c r="C517" s="286"/>
      <c r="D517" s="301"/>
      <c r="E517" s="10"/>
      <c r="F517" s="338">
        <f t="shared" si="17"/>
        <v>0</v>
      </c>
    </row>
    <row r="518" spans="1:8" s="339" customFormat="1">
      <c r="A518" s="336"/>
      <c r="B518" s="304" t="s">
        <v>304</v>
      </c>
      <c r="C518" s="286"/>
      <c r="D518" s="301"/>
      <c r="E518" s="10"/>
      <c r="F518" s="338">
        <f t="shared" si="17"/>
        <v>0</v>
      </c>
      <c r="H518" s="359"/>
    </row>
    <row r="519" spans="1:8" s="339" customFormat="1">
      <c r="A519" s="336"/>
      <c r="B519" s="361" t="s">
        <v>165</v>
      </c>
      <c r="C519" s="285"/>
      <c r="D519" s="301"/>
      <c r="E519" s="45"/>
      <c r="F519" s="338">
        <f t="shared" si="17"/>
        <v>0</v>
      </c>
    </row>
    <row r="520" spans="1:8" s="339" customFormat="1">
      <c r="A520" s="336"/>
      <c r="B520" s="361" t="s">
        <v>297</v>
      </c>
      <c r="C520" s="285" t="s">
        <v>27</v>
      </c>
      <c r="D520" s="301">
        <f>253.8+17+115.7+30.5</f>
        <v>417</v>
      </c>
      <c r="E520" s="45"/>
      <c r="F520" s="338">
        <f t="shared" si="17"/>
        <v>0</v>
      </c>
    </row>
    <row r="521" spans="1:8" s="339" customFormat="1">
      <c r="A521" s="336"/>
      <c r="B521" s="361" t="s">
        <v>61</v>
      </c>
      <c r="C521" s="285" t="s">
        <v>27</v>
      </c>
      <c r="D521" s="301">
        <f>253.8+17+115.7+30.5</f>
        <v>417</v>
      </c>
      <c r="E521" s="45"/>
      <c r="F521" s="338">
        <f t="shared" si="17"/>
        <v>0</v>
      </c>
    </row>
    <row r="522" spans="1:8" s="339" customFormat="1">
      <c r="A522" s="336"/>
      <c r="B522" s="361" t="s">
        <v>298</v>
      </c>
      <c r="C522" s="285" t="s">
        <v>27</v>
      </c>
      <c r="D522" s="301">
        <f>253.8+17+115.7+30.5</f>
        <v>417</v>
      </c>
      <c r="E522" s="45"/>
      <c r="F522" s="338">
        <f t="shared" si="17"/>
        <v>0</v>
      </c>
      <c r="H522" s="359"/>
    </row>
    <row r="523" spans="1:8" s="278" customFormat="1">
      <c r="A523" s="336"/>
      <c r="B523" s="361" t="s">
        <v>299</v>
      </c>
      <c r="C523" s="285" t="s">
        <v>27</v>
      </c>
      <c r="D523" s="301">
        <f>253.8+17+115.7+30.5</f>
        <v>417</v>
      </c>
      <c r="E523" s="45"/>
      <c r="F523" s="338">
        <f t="shared" si="17"/>
        <v>0</v>
      </c>
      <c r="G523" s="339"/>
    </row>
    <row r="524" spans="1:8" s="339" customFormat="1">
      <c r="A524" s="336"/>
      <c r="B524" s="361"/>
      <c r="C524" s="286"/>
      <c r="D524" s="301"/>
      <c r="E524" s="10"/>
      <c r="F524" s="338">
        <f t="shared" si="17"/>
        <v>0</v>
      </c>
    </row>
    <row r="525" spans="1:8" s="339" customFormat="1">
      <c r="A525" s="419">
        <f>IF(B525&gt;0,MAX(A502:A524)+1,"")</f>
        <v>21</v>
      </c>
      <c r="B525" s="386" t="s">
        <v>295</v>
      </c>
      <c r="C525" s="286"/>
      <c r="D525" s="301"/>
      <c r="E525" s="10"/>
      <c r="F525" s="338">
        <f t="shared" si="17"/>
        <v>0</v>
      </c>
    </row>
    <row r="526" spans="1:8" s="278" customFormat="1" ht="76.5">
      <c r="A526" s="336"/>
      <c r="B526" s="406" t="s">
        <v>236</v>
      </c>
      <c r="C526" s="286"/>
      <c r="D526" s="301"/>
      <c r="E526" s="10"/>
      <c r="F526" s="338">
        <f t="shared" si="17"/>
        <v>0</v>
      </c>
      <c r="G526" s="339"/>
    </row>
    <row r="527" spans="1:8" s="278" customFormat="1" ht="89.25">
      <c r="A527" s="336"/>
      <c r="B527" s="406" t="s">
        <v>301</v>
      </c>
      <c r="C527" s="286"/>
      <c r="D527" s="301"/>
      <c r="E527" s="10"/>
      <c r="F527" s="338">
        <f t="shared" si="17"/>
        <v>0</v>
      </c>
      <c r="G527" s="339"/>
    </row>
    <row r="528" spans="1:8" s="278" customFormat="1">
      <c r="A528" s="336"/>
      <c r="B528" s="304" t="s">
        <v>303</v>
      </c>
      <c r="C528" s="286"/>
      <c r="D528" s="301"/>
      <c r="E528" s="10"/>
      <c r="F528" s="338">
        <f t="shared" si="17"/>
        <v>0</v>
      </c>
      <c r="G528" s="339"/>
    </row>
    <row r="529" spans="1:7" s="278" customFormat="1">
      <c r="A529" s="336"/>
      <c r="B529" s="361" t="s">
        <v>165</v>
      </c>
      <c r="C529" s="285"/>
      <c r="D529" s="301"/>
      <c r="E529" s="45"/>
      <c r="F529" s="338">
        <f t="shared" si="17"/>
        <v>0</v>
      </c>
      <c r="G529" s="339"/>
    </row>
    <row r="530" spans="1:7" s="278" customFormat="1">
      <c r="A530" s="336"/>
      <c r="B530" s="361" t="s">
        <v>297</v>
      </c>
      <c r="C530" s="285" t="s">
        <v>27</v>
      </c>
      <c r="D530" s="301">
        <f>166.6+11.7</f>
        <v>178.3</v>
      </c>
      <c r="E530" s="45"/>
      <c r="F530" s="338">
        <f t="shared" si="17"/>
        <v>0</v>
      </c>
      <c r="G530" s="339"/>
    </row>
    <row r="531" spans="1:7" s="278" customFormat="1">
      <c r="A531" s="336"/>
      <c r="B531" s="361" t="s">
        <v>61</v>
      </c>
      <c r="C531" s="285" t="s">
        <v>27</v>
      </c>
      <c r="D531" s="301">
        <f>166.6+11.7</f>
        <v>178.3</v>
      </c>
      <c r="E531" s="45"/>
      <c r="F531" s="338">
        <f t="shared" si="17"/>
        <v>0</v>
      </c>
      <c r="G531" s="339"/>
    </row>
    <row r="532" spans="1:7" s="278" customFormat="1">
      <c r="A532" s="336"/>
      <c r="B532" s="361" t="s">
        <v>298</v>
      </c>
      <c r="C532" s="285" t="s">
        <v>27</v>
      </c>
      <c r="D532" s="301">
        <f>166.6+11.7</f>
        <v>178.3</v>
      </c>
      <c r="E532" s="45"/>
      <c r="F532" s="338">
        <f t="shared" si="17"/>
        <v>0</v>
      </c>
      <c r="G532" s="339"/>
    </row>
    <row r="533" spans="1:7" s="278" customFormat="1">
      <c r="A533" s="336"/>
      <c r="B533" s="361" t="s">
        <v>302</v>
      </c>
      <c r="C533" s="285" t="s">
        <v>27</v>
      </c>
      <c r="D533" s="301">
        <f>166.6+11.7</f>
        <v>178.3</v>
      </c>
      <c r="E533" s="45"/>
      <c r="F533" s="338">
        <f t="shared" si="17"/>
        <v>0</v>
      </c>
      <c r="G533" s="339"/>
    </row>
    <row r="534" spans="1:7" s="278" customFormat="1">
      <c r="A534" s="336"/>
      <c r="B534" s="361"/>
      <c r="C534" s="286"/>
      <c r="D534" s="301"/>
      <c r="E534" s="10"/>
      <c r="F534" s="338">
        <f t="shared" si="17"/>
        <v>0</v>
      </c>
      <c r="G534" s="339"/>
    </row>
    <row r="535" spans="1:7" s="278" customFormat="1">
      <c r="A535" s="419">
        <f>IF(B535&gt;0,MAX(A521:A534)+1,"")</f>
        <v>22</v>
      </c>
      <c r="B535" s="386" t="s">
        <v>313</v>
      </c>
      <c r="C535" s="286"/>
      <c r="D535" s="301"/>
      <c r="E535" s="10"/>
      <c r="F535" s="338">
        <f t="shared" si="17"/>
        <v>0</v>
      </c>
      <c r="G535" s="339"/>
    </row>
    <row r="536" spans="1:7" s="278" customFormat="1" ht="76.5">
      <c r="A536" s="336"/>
      <c r="B536" s="406" t="s">
        <v>323</v>
      </c>
      <c r="C536" s="286"/>
      <c r="D536" s="301"/>
      <c r="E536" s="10"/>
      <c r="F536" s="338">
        <f t="shared" si="17"/>
        <v>0</v>
      </c>
      <c r="G536" s="339"/>
    </row>
    <row r="537" spans="1:7" s="278" customFormat="1" ht="38.25">
      <c r="A537" s="336"/>
      <c r="B537" s="406" t="s">
        <v>324</v>
      </c>
      <c r="C537" s="286"/>
      <c r="D537" s="301"/>
      <c r="E537" s="10"/>
      <c r="F537" s="338">
        <f t="shared" si="17"/>
        <v>0</v>
      </c>
      <c r="G537" s="339"/>
    </row>
    <row r="538" spans="1:7" s="278" customFormat="1">
      <c r="A538" s="336"/>
      <c r="B538" s="304" t="s">
        <v>326</v>
      </c>
      <c r="C538" s="286"/>
      <c r="D538" s="301"/>
      <c r="E538" s="10"/>
      <c r="F538" s="338">
        <f t="shared" si="17"/>
        <v>0</v>
      </c>
      <c r="G538" s="339"/>
    </row>
    <row r="539" spans="1:7" s="278" customFormat="1">
      <c r="A539" s="336"/>
      <c r="B539" s="361" t="s">
        <v>165</v>
      </c>
      <c r="C539" s="285"/>
      <c r="D539" s="301"/>
      <c r="E539" s="45"/>
      <c r="F539" s="338">
        <f t="shared" si="17"/>
        <v>0</v>
      </c>
      <c r="G539" s="339"/>
    </row>
    <row r="540" spans="1:7" s="278" customFormat="1">
      <c r="A540" s="336"/>
      <c r="B540" s="361" t="s">
        <v>325</v>
      </c>
      <c r="C540" s="285" t="s">
        <v>27</v>
      </c>
      <c r="D540" s="301">
        <f>11.6+31</f>
        <v>42.6</v>
      </c>
      <c r="E540" s="45"/>
      <c r="F540" s="338">
        <f t="shared" si="17"/>
        <v>0</v>
      </c>
      <c r="G540" s="339"/>
    </row>
    <row r="541" spans="1:7" s="278" customFormat="1">
      <c r="A541" s="336"/>
      <c r="B541" s="361" t="s">
        <v>322</v>
      </c>
      <c r="C541" s="285" t="s">
        <v>27</v>
      </c>
      <c r="D541" s="301">
        <f>11.6+31</f>
        <v>42.6</v>
      </c>
      <c r="E541" s="45"/>
      <c r="F541" s="338">
        <f t="shared" si="17"/>
        <v>0</v>
      </c>
      <c r="G541" s="339"/>
    </row>
    <row r="542" spans="1:7" s="278" customFormat="1">
      <c r="A542" s="336"/>
      <c r="B542" s="361"/>
      <c r="C542" s="286"/>
      <c r="D542" s="301"/>
      <c r="E542" s="10"/>
      <c r="F542" s="338">
        <f t="shared" si="17"/>
        <v>0</v>
      </c>
      <c r="G542" s="339"/>
    </row>
    <row r="543" spans="1:7" s="278" customFormat="1">
      <c r="A543" s="419">
        <f>IF(B543&gt;0,MAX(A529:A542)+1,"")</f>
        <v>23</v>
      </c>
      <c r="B543" s="386" t="s">
        <v>313</v>
      </c>
      <c r="C543" s="286"/>
      <c r="D543" s="301"/>
      <c r="E543" s="10"/>
      <c r="F543" s="338">
        <f t="shared" si="17"/>
        <v>0</v>
      </c>
      <c r="G543" s="339"/>
    </row>
    <row r="544" spans="1:7" s="278" customFormat="1" ht="76.5">
      <c r="A544" s="336"/>
      <c r="B544" s="406" t="s">
        <v>236</v>
      </c>
      <c r="C544" s="286"/>
      <c r="D544" s="301"/>
      <c r="E544" s="10"/>
      <c r="F544" s="338">
        <f t="shared" si="17"/>
        <v>0</v>
      </c>
      <c r="G544" s="339"/>
    </row>
    <row r="545" spans="1:7" s="278" customFormat="1" ht="38.25">
      <c r="A545" s="336"/>
      <c r="B545" s="406" t="s">
        <v>314</v>
      </c>
      <c r="C545" s="286"/>
      <c r="D545" s="301"/>
      <c r="E545" s="10"/>
      <c r="F545" s="338">
        <f t="shared" si="17"/>
        <v>0</v>
      </c>
      <c r="G545" s="339"/>
    </row>
    <row r="546" spans="1:7" s="278" customFormat="1">
      <c r="A546" s="336"/>
      <c r="B546" s="304" t="s">
        <v>315</v>
      </c>
      <c r="C546" s="286"/>
      <c r="D546" s="301"/>
      <c r="E546" s="10"/>
      <c r="F546" s="338">
        <f t="shared" si="17"/>
        <v>0</v>
      </c>
      <c r="G546" s="339"/>
    </row>
    <row r="547" spans="1:7" s="278" customFormat="1">
      <c r="A547" s="336"/>
      <c r="B547" s="361" t="s">
        <v>165</v>
      </c>
      <c r="C547" s="285"/>
      <c r="D547" s="301"/>
      <c r="E547" s="45"/>
      <c r="F547" s="338">
        <f t="shared" si="17"/>
        <v>0</v>
      </c>
      <c r="G547" s="339"/>
    </row>
    <row r="548" spans="1:7" s="278" customFormat="1">
      <c r="A548" s="336"/>
      <c r="B548" s="361" t="s">
        <v>297</v>
      </c>
      <c r="C548" s="285" t="s">
        <v>27</v>
      </c>
      <c r="D548" s="301">
        <f>37.5+55.6</f>
        <v>93.1</v>
      </c>
      <c r="E548" s="45"/>
      <c r="F548" s="338">
        <f t="shared" si="17"/>
        <v>0</v>
      </c>
      <c r="G548" s="339"/>
    </row>
    <row r="549" spans="1:7" s="278" customFormat="1">
      <c r="A549" s="336"/>
      <c r="B549" s="361" t="s">
        <v>322</v>
      </c>
      <c r="C549" s="285" t="s">
        <v>27</v>
      </c>
      <c r="D549" s="301">
        <f>37.5+55.6</f>
        <v>93.1</v>
      </c>
      <c r="E549" s="45"/>
      <c r="F549" s="338">
        <f t="shared" si="17"/>
        <v>0</v>
      </c>
      <c r="G549" s="339"/>
    </row>
    <row r="550" spans="1:7" s="278" customFormat="1">
      <c r="A550" s="336"/>
      <c r="B550" s="361"/>
      <c r="C550" s="286"/>
      <c r="D550" s="301"/>
      <c r="E550" s="10"/>
      <c r="F550" s="338">
        <f t="shared" si="17"/>
        <v>0</v>
      </c>
      <c r="G550" s="339"/>
    </row>
    <row r="551" spans="1:7" s="278" customFormat="1">
      <c r="A551" s="419">
        <f>IF(B551&gt;0,MAX(A537:A550)+1,"")</f>
        <v>24</v>
      </c>
      <c r="B551" s="386" t="s">
        <v>313</v>
      </c>
      <c r="C551" s="286"/>
      <c r="D551" s="301"/>
      <c r="E551" s="10"/>
      <c r="F551" s="338">
        <f t="shared" si="17"/>
        <v>0</v>
      </c>
      <c r="G551" s="339"/>
    </row>
    <row r="552" spans="1:7" s="278" customFormat="1" ht="76.5">
      <c r="A552" s="336"/>
      <c r="B552" s="406" t="s">
        <v>236</v>
      </c>
      <c r="C552" s="286"/>
      <c r="D552" s="301"/>
      <c r="E552" s="10"/>
      <c r="F552" s="338">
        <f t="shared" si="17"/>
        <v>0</v>
      </c>
      <c r="G552" s="339"/>
    </row>
    <row r="553" spans="1:7" s="278" customFormat="1" ht="76.5">
      <c r="A553" s="336"/>
      <c r="B553" s="406" t="s">
        <v>318</v>
      </c>
      <c r="C553" s="286"/>
      <c r="D553" s="301"/>
      <c r="E553" s="10"/>
      <c r="F553" s="338">
        <f t="shared" si="17"/>
        <v>0</v>
      </c>
      <c r="G553" s="339"/>
    </row>
    <row r="554" spans="1:7" s="278" customFormat="1">
      <c r="A554" s="336"/>
      <c r="B554" s="304" t="s">
        <v>327</v>
      </c>
      <c r="C554" s="286"/>
      <c r="D554" s="301"/>
      <c r="E554" s="10"/>
      <c r="F554" s="338">
        <f t="shared" si="17"/>
        <v>0</v>
      </c>
      <c r="G554" s="339"/>
    </row>
    <row r="555" spans="1:7" s="278" customFormat="1">
      <c r="A555" s="336"/>
      <c r="B555" s="361" t="s">
        <v>165</v>
      </c>
      <c r="C555" s="285"/>
      <c r="D555" s="301"/>
      <c r="E555" s="45"/>
      <c r="F555" s="338">
        <f t="shared" si="17"/>
        <v>0</v>
      </c>
      <c r="G555" s="339"/>
    </row>
    <row r="556" spans="1:7" s="278" customFormat="1">
      <c r="A556" s="336"/>
      <c r="B556" s="361" t="s">
        <v>297</v>
      </c>
      <c r="C556" s="285" t="s">
        <v>27</v>
      </c>
      <c r="D556" s="301">
        <f>56+148</f>
        <v>204</v>
      </c>
      <c r="E556" s="45"/>
      <c r="F556" s="338">
        <f t="shared" si="17"/>
        <v>0</v>
      </c>
      <c r="G556" s="339"/>
    </row>
    <row r="557" spans="1:7" s="278" customFormat="1">
      <c r="A557" s="336"/>
      <c r="B557" s="361" t="s">
        <v>61</v>
      </c>
      <c r="C557" s="285" t="s">
        <v>27</v>
      </c>
      <c r="D557" s="301">
        <f>56+148</f>
        <v>204</v>
      </c>
      <c r="E557" s="45"/>
      <c r="F557" s="338">
        <f t="shared" si="17"/>
        <v>0</v>
      </c>
      <c r="G557" s="339"/>
    </row>
    <row r="558" spans="1:7" s="278" customFormat="1">
      <c r="A558" s="336"/>
      <c r="B558" s="361" t="s">
        <v>319</v>
      </c>
      <c r="C558" s="285" t="s">
        <v>27</v>
      </c>
      <c r="D558" s="301">
        <f>56+148</f>
        <v>204</v>
      </c>
      <c r="E558" s="45"/>
      <c r="F558" s="338">
        <f t="shared" si="17"/>
        <v>0</v>
      </c>
      <c r="G558" s="339"/>
    </row>
    <row r="559" spans="1:7" s="278" customFormat="1">
      <c r="A559" s="336"/>
      <c r="B559" s="361"/>
      <c r="C559" s="286"/>
      <c r="D559" s="301"/>
      <c r="E559" s="10"/>
      <c r="F559" s="338">
        <f t="shared" si="17"/>
        <v>0</v>
      </c>
      <c r="G559" s="339"/>
    </row>
    <row r="560" spans="1:7" s="278" customFormat="1">
      <c r="A560" s="419">
        <f>IF(B560&gt;0,MAX(A546:A559)+1,"")</f>
        <v>25</v>
      </c>
      <c r="B560" s="386" t="s">
        <v>313</v>
      </c>
      <c r="C560" s="286"/>
      <c r="D560" s="301"/>
      <c r="E560" s="10"/>
      <c r="F560" s="338">
        <f t="shared" si="17"/>
        <v>0</v>
      </c>
      <c r="G560" s="339"/>
    </row>
    <row r="561" spans="1:7" s="278" customFormat="1" ht="76.5">
      <c r="A561" s="336"/>
      <c r="B561" s="406" t="s">
        <v>236</v>
      </c>
      <c r="C561" s="286"/>
      <c r="D561" s="301"/>
      <c r="E561" s="10"/>
      <c r="F561" s="338">
        <f t="shared" si="17"/>
        <v>0</v>
      </c>
      <c r="G561" s="339"/>
    </row>
    <row r="562" spans="1:7" s="278" customFormat="1" ht="76.5">
      <c r="A562" s="336"/>
      <c r="B562" s="406" t="s">
        <v>335</v>
      </c>
      <c r="C562" s="286"/>
      <c r="D562" s="301"/>
      <c r="E562" s="10"/>
      <c r="F562" s="338">
        <f t="shared" si="17"/>
        <v>0</v>
      </c>
      <c r="G562" s="339"/>
    </row>
    <row r="563" spans="1:7" s="278" customFormat="1">
      <c r="A563" s="336"/>
      <c r="B563" s="304" t="s">
        <v>320</v>
      </c>
      <c r="C563" s="286"/>
      <c r="D563" s="301"/>
      <c r="E563" s="10"/>
      <c r="F563" s="338">
        <f t="shared" si="17"/>
        <v>0</v>
      </c>
      <c r="G563" s="339"/>
    </row>
    <row r="564" spans="1:7" s="278" customFormat="1">
      <c r="A564" s="336"/>
      <c r="B564" s="361" t="s">
        <v>165</v>
      </c>
      <c r="C564" s="285"/>
      <c r="D564" s="301"/>
      <c r="E564" s="45"/>
      <c r="F564" s="338">
        <f t="shared" si="17"/>
        <v>0</v>
      </c>
      <c r="G564" s="430"/>
    </row>
    <row r="565" spans="1:7" s="278" customFormat="1">
      <c r="A565" s="336"/>
      <c r="B565" s="361" t="s">
        <v>297</v>
      </c>
      <c r="C565" s="285" t="s">
        <v>27</v>
      </c>
      <c r="D565" s="301">
        <v>7.7</v>
      </c>
      <c r="E565" s="45"/>
      <c r="F565" s="338">
        <f t="shared" si="17"/>
        <v>0</v>
      </c>
      <c r="G565" s="339"/>
    </row>
    <row r="566" spans="1:7" s="278" customFormat="1">
      <c r="A566" s="336"/>
      <c r="B566" s="361" t="s">
        <v>61</v>
      </c>
      <c r="C566" s="285" t="s">
        <v>27</v>
      </c>
      <c r="D566" s="301">
        <v>7.7</v>
      </c>
      <c r="E566" s="45"/>
      <c r="F566" s="338">
        <f t="shared" si="17"/>
        <v>0</v>
      </c>
      <c r="G566" s="339"/>
    </row>
    <row r="567" spans="1:7" s="278" customFormat="1">
      <c r="A567" s="336"/>
      <c r="B567" s="361" t="s">
        <v>321</v>
      </c>
      <c r="C567" s="285" t="s">
        <v>27</v>
      </c>
      <c r="D567" s="301">
        <v>7.7</v>
      </c>
      <c r="E567" s="45"/>
      <c r="F567" s="338">
        <f t="shared" si="17"/>
        <v>0</v>
      </c>
      <c r="G567" s="339"/>
    </row>
    <row r="568" spans="1:7" s="278" customFormat="1">
      <c r="A568" s="336"/>
      <c r="B568" s="361"/>
      <c r="C568" s="286"/>
      <c r="D568" s="301"/>
      <c r="E568" s="10"/>
      <c r="F568" s="338">
        <f t="shared" si="17"/>
        <v>0</v>
      </c>
      <c r="G568" s="339"/>
    </row>
    <row r="569" spans="1:7" s="278" customFormat="1">
      <c r="A569" s="419">
        <f>IF(B569&gt;0,MAX(A559:A568)+1,"")</f>
        <v>26</v>
      </c>
      <c r="B569" s="386" t="s">
        <v>333</v>
      </c>
      <c r="C569" s="286"/>
      <c r="D569" s="301"/>
      <c r="E569" s="10"/>
      <c r="F569" s="338">
        <f t="shared" si="17"/>
        <v>0</v>
      </c>
      <c r="G569" s="339"/>
    </row>
    <row r="570" spans="1:7" s="278" customFormat="1" ht="76.5">
      <c r="A570" s="336"/>
      <c r="B570" s="406" t="s">
        <v>236</v>
      </c>
      <c r="C570" s="286"/>
      <c r="D570" s="301"/>
      <c r="E570" s="10"/>
      <c r="F570" s="338">
        <f t="shared" si="17"/>
        <v>0</v>
      </c>
      <c r="G570" s="339"/>
    </row>
    <row r="571" spans="1:7" s="278" customFormat="1" ht="76.5">
      <c r="A571" s="336"/>
      <c r="B571" s="406" t="s">
        <v>2021</v>
      </c>
      <c r="C571" s="286"/>
      <c r="D571" s="301"/>
      <c r="E571" s="10"/>
      <c r="F571" s="338">
        <f t="shared" si="17"/>
        <v>0</v>
      </c>
      <c r="G571" s="339"/>
    </row>
    <row r="572" spans="1:7" s="278" customFormat="1">
      <c r="A572" s="336"/>
      <c r="B572" s="304" t="s">
        <v>339</v>
      </c>
      <c r="C572" s="286"/>
      <c r="D572" s="301"/>
      <c r="E572" s="10"/>
      <c r="F572" s="338">
        <f t="shared" si="17"/>
        <v>0</v>
      </c>
      <c r="G572" s="339"/>
    </row>
    <row r="573" spans="1:7" s="278" customFormat="1">
      <c r="A573" s="336"/>
      <c r="B573" s="361" t="s">
        <v>165</v>
      </c>
      <c r="C573" s="285"/>
      <c r="D573" s="301"/>
      <c r="E573" s="45"/>
      <c r="F573" s="338">
        <f t="shared" si="17"/>
        <v>0</v>
      </c>
      <c r="G573" s="339"/>
    </row>
    <row r="574" spans="1:7" s="278" customFormat="1">
      <c r="A574" s="336"/>
      <c r="B574" s="361" t="s">
        <v>297</v>
      </c>
      <c r="C574" s="285" t="s">
        <v>27</v>
      </c>
      <c r="D574" s="301">
        <f>59.4+19.9+146.2</f>
        <v>225.5</v>
      </c>
      <c r="E574" s="45"/>
      <c r="F574" s="338">
        <f t="shared" si="17"/>
        <v>0</v>
      </c>
      <c r="G574" s="339"/>
    </row>
    <row r="575" spans="1:7" s="278" customFormat="1">
      <c r="A575" s="336"/>
      <c r="B575" s="361" t="s">
        <v>61</v>
      </c>
      <c r="C575" s="285" t="s">
        <v>27</v>
      </c>
      <c r="D575" s="301">
        <f>59.4+19.9+146.2</f>
        <v>225.5</v>
      </c>
      <c r="E575" s="45"/>
      <c r="F575" s="338">
        <f t="shared" ref="F575:F638" si="19">D575*E575</f>
        <v>0</v>
      </c>
      <c r="G575" s="339"/>
    </row>
    <row r="576" spans="1:7" s="278" customFormat="1">
      <c r="A576" s="336"/>
      <c r="B576" s="361" t="s">
        <v>334</v>
      </c>
      <c r="C576" s="285" t="s">
        <v>27</v>
      </c>
      <c r="D576" s="301">
        <f>59.4+19.9+146.2</f>
        <v>225.5</v>
      </c>
      <c r="E576" s="45"/>
      <c r="F576" s="338">
        <f t="shared" si="19"/>
        <v>0</v>
      </c>
      <c r="G576" s="339"/>
    </row>
    <row r="577" spans="1:7" s="278" customFormat="1">
      <c r="A577" s="336"/>
      <c r="B577" s="361"/>
      <c r="C577" s="286"/>
      <c r="D577" s="301"/>
      <c r="E577" s="10"/>
      <c r="F577" s="338">
        <f t="shared" si="19"/>
        <v>0</v>
      </c>
      <c r="G577" s="339"/>
    </row>
    <row r="578" spans="1:7" s="278" customFormat="1">
      <c r="A578" s="419">
        <f>IF(B578&gt;0,MAX(A569:A577)+1,"")</f>
        <v>27</v>
      </c>
      <c r="B578" s="386" t="s">
        <v>333</v>
      </c>
      <c r="C578" s="286"/>
      <c r="D578" s="301"/>
      <c r="E578" s="10"/>
      <c r="F578" s="338">
        <f t="shared" si="19"/>
        <v>0</v>
      </c>
      <c r="G578" s="339"/>
    </row>
    <row r="579" spans="1:7" s="278" customFormat="1" ht="76.5">
      <c r="A579" s="336"/>
      <c r="B579" s="406" t="s">
        <v>236</v>
      </c>
      <c r="C579" s="286"/>
      <c r="D579" s="301"/>
      <c r="E579" s="10"/>
      <c r="F579" s="338">
        <f t="shared" si="19"/>
        <v>0</v>
      </c>
      <c r="G579" s="339"/>
    </row>
    <row r="580" spans="1:7" s="278" customFormat="1" ht="76.5">
      <c r="A580" s="336"/>
      <c r="B580" s="406" t="s">
        <v>336</v>
      </c>
      <c r="C580" s="286"/>
      <c r="D580" s="301"/>
      <c r="E580" s="10"/>
      <c r="F580" s="338">
        <f t="shared" si="19"/>
        <v>0</v>
      </c>
      <c r="G580" s="339"/>
    </row>
    <row r="581" spans="1:7" s="278" customFormat="1">
      <c r="A581" s="336"/>
      <c r="B581" s="304" t="s">
        <v>337</v>
      </c>
      <c r="C581" s="286"/>
      <c r="D581" s="301"/>
      <c r="E581" s="10"/>
      <c r="F581" s="338">
        <f t="shared" si="19"/>
        <v>0</v>
      </c>
      <c r="G581" s="339"/>
    </row>
    <row r="582" spans="1:7" s="278" customFormat="1">
      <c r="A582" s="336"/>
      <c r="B582" s="361" t="s">
        <v>165</v>
      </c>
      <c r="C582" s="285"/>
      <c r="D582" s="301"/>
      <c r="E582" s="45"/>
      <c r="F582" s="338">
        <f t="shared" si="19"/>
        <v>0</v>
      </c>
      <c r="G582" s="339"/>
    </row>
    <row r="583" spans="1:7" s="278" customFormat="1">
      <c r="A583" s="336"/>
      <c r="B583" s="361" t="s">
        <v>297</v>
      </c>
      <c r="C583" s="285" t="s">
        <v>27</v>
      </c>
      <c r="D583" s="301">
        <f>25.8</f>
        <v>25.8</v>
      </c>
      <c r="E583" s="45"/>
      <c r="F583" s="338">
        <f t="shared" si="19"/>
        <v>0</v>
      </c>
      <c r="G583" s="339"/>
    </row>
    <row r="584" spans="1:7" s="278" customFormat="1">
      <c r="A584" s="336"/>
      <c r="B584" s="361" t="s">
        <v>61</v>
      </c>
      <c r="C584" s="285" t="s">
        <v>27</v>
      </c>
      <c r="D584" s="301">
        <f>25.8</f>
        <v>25.8</v>
      </c>
      <c r="E584" s="45"/>
      <c r="F584" s="338">
        <f t="shared" si="19"/>
        <v>0</v>
      </c>
      <c r="G584" s="339"/>
    </row>
    <row r="585" spans="1:7" s="278" customFormat="1">
      <c r="A585" s="336"/>
      <c r="B585" s="361" t="s">
        <v>338</v>
      </c>
      <c r="C585" s="285" t="s">
        <v>27</v>
      </c>
      <c r="D585" s="301">
        <f>25.8</f>
        <v>25.8</v>
      </c>
      <c r="E585" s="45"/>
      <c r="F585" s="338">
        <f t="shared" si="19"/>
        <v>0</v>
      </c>
      <c r="G585" s="339"/>
    </row>
    <row r="586" spans="1:7" s="278" customFormat="1">
      <c r="A586" s="336"/>
      <c r="B586" s="361"/>
      <c r="C586" s="286"/>
      <c r="D586" s="301"/>
      <c r="E586" s="10"/>
      <c r="F586" s="338">
        <f t="shared" si="19"/>
        <v>0</v>
      </c>
      <c r="G586" s="339"/>
    </row>
    <row r="587" spans="1:7" s="278" customFormat="1">
      <c r="A587" s="419">
        <f>IF(B587&gt;0,MAX(A578:A586)+1,"")</f>
        <v>28</v>
      </c>
      <c r="B587" s="386" t="s">
        <v>363</v>
      </c>
      <c r="C587" s="286"/>
      <c r="D587" s="301"/>
      <c r="E587" s="10"/>
      <c r="F587" s="338">
        <f t="shared" si="19"/>
        <v>0</v>
      </c>
      <c r="G587" s="339"/>
    </row>
    <row r="588" spans="1:7" s="278" customFormat="1" ht="76.5">
      <c r="A588" s="336"/>
      <c r="B588" s="406" t="s">
        <v>236</v>
      </c>
      <c r="C588" s="286"/>
      <c r="D588" s="301"/>
      <c r="E588" s="10"/>
      <c r="F588" s="338">
        <f t="shared" si="19"/>
        <v>0</v>
      </c>
      <c r="G588" s="339"/>
    </row>
    <row r="589" spans="1:7" s="278" customFormat="1" ht="76.5">
      <c r="A589" s="336"/>
      <c r="B589" s="406" t="s">
        <v>2021</v>
      </c>
      <c r="C589" s="286"/>
      <c r="D589" s="301"/>
      <c r="E589" s="10"/>
      <c r="F589" s="338">
        <f t="shared" si="19"/>
        <v>0</v>
      </c>
      <c r="G589" s="339"/>
    </row>
    <row r="590" spans="1:7" s="278" customFormat="1">
      <c r="A590" s="336"/>
      <c r="B590" s="304" t="s">
        <v>365</v>
      </c>
      <c r="C590" s="286"/>
      <c r="D590" s="301"/>
      <c r="E590" s="10"/>
      <c r="F590" s="338">
        <f t="shared" si="19"/>
        <v>0</v>
      </c>
      <c r="G590" s="339"/>
    </row>
    <row r="591" spans="1:7" s="278" customFormat="1">
      <c r="A591" s="336"/>
      <c r="B591" s="361" t="s">
        <v>165</v>
      </c>
      <c r="C591" s="285"/>
      <c r="D591" s="301"/>
      <c r="E591" s="45"/>
      <c r="F591" s="338">
        <f t="shared" si="19"/>
        <v>0</v>
      </c>
      <c r="G591" s="339"/>
    </row>
    <row r="592" spans="1:7" s="278" customFormat="1">
      <c r="A592" s="336"/>
      <c r="B592" s="361" t="s">
        <v>297</v>
      </c>
      <c r="C592" s="285" t="s">
        <v>27</v>
      </c>
      <c r="D592" s="301">
        <f>50+24.2</f>
        <v>74.2</v>
      </c>
      <c r="E592" s="45"/>
      <c r="F592" s="338">
        <f t="shared" si="19"/>
        <v>0</v>
      </c>
      <c r="G592" s="339"/>
    </row>
    <row r="593" spans="1:7" s="278" customFormat="1">
      <c r="A593" s="336"/>
      <c r="B593" s="361" t="s">
        <v>61</v>
      </c>
      <c r="C593" s="285" t="s">
        <v>27</v>
      </c>
      <c r="D593" s="301">
        <f>50+24.2</f>
        <v>74.2</v>
      </c>
      <c r="E593" s="45"/>
      <c r="F593" s="338">
        <f t="shared" si="19"/>
        <v>0</v>
      </c>
      <c r="G593" s="339"/>
    </row>
    <row r="594" spans="1:7" s="278" customFormat="1">
      <c r="A594" s="336"/>
      <c r="B594" s="361" t="s">
        <v>334</v>
      </c>
      <c r="C594" s="285" t="s">
        <v>27</v>
      </c>
      <c r="D594" s="301">
        <f>50+24.2</f>
        <v>74.2</v>
      </c>
      <c r="E594" s="45"/>
      <c r="F594" s="338">
        <f t="shared" si="19"/>
        <v>0</v>
      </c>
      <c r="G594" s="339"/>
    </row>
    <row r="595" spans="1:7" s="278" customFormat="1">
      <c r="A595" s="336"/>
      <c r="B595" s="361"/>
      <c r="C595" s="286"/>
      <c r="D595" s="301"/>
      <c r="E595" s="10"/>
      <c r="F595" s="338">
        <f t="shared" si="19"/>
        <v>0</v>
      </c>
      <c r="G595" s="339"/>
    </row>
    <row r="596" spans="1:7" s="278" customFormat="1">
      <c r="A596" s="419">
        <f>IF(B596&gt;0,MAX(A587:A595)+1,"")</f>
        <v>29</v>
      </c>
      <c r="B596" s="386" t="s">
        <v>363</v>
      </c>
      <c r="C596" s="286"/>
      <c r="D596" s="301"/>
      <c r="E596" s="10"/>
      <c r="F596" s="338">
        <f t="shared" si="19"/>
        <v>0</v>
      </c>
      <c r="G596" s="339"/>
    </row>
    <row r="597" spans="1:7" s="278" customFormat="1" ht="76.5">
      <c r="A597" s="336"/>
      <c r="B597" s="406" t="s">
        <v>236</v>
      </c>
      <c r="C597" s="286"/>
      <c r="D597" s="301"/>
      <c r="E597" s="10"/>
      <c r="F597" s="338">
        <f t="shared" si="19"/>
        <v>0</v>
      </c>
      <c r="G597" s="339"/>
    </row>
    <row r="598" spans="1:7" s="278" customFormat="1" ht="76.5">
      <c r="A598" s="336"/>
      <c r="B598" s="406" t="s">
        <v>335</v>
      </c>
      <c r="C598" s="286"/>
      <c r="D598" s="301"/>
      <c r="E598" s="10"/>
      <c r="F598" s="338">
        <f t="shared" si="19"/>
        <v>0</v>
      </c>
      <c r="G598" s="339"/>
    </row>
    <row r="599" spans="1:7" s="278" customFormat="1">
      <c r="A599" s="336"/>
      <c r="B599" s="304" t="s">
        <v>212</v>
      </c>
      <c r="C599" s="286"/>
      <c r="D599" s="301"/>
      <c r="E599" s="10"/>
      <c r="F599" s="338">
        <f t="shared" si="19"/>
        <v>0</v>
      </c>
      <c r="G599" s="339"/>
    </row>
    <row r="600" spans="1:7" s="278" customFormat="1">
      <c r="A600" s="336"/>
      <c r="B600" s="361" t="s">
        <v>165</v>
      </c>
      <c r="C600" s="285"/>
      <c r="D600" s="301"/>
      <c r="E600" s="45"/>
      <c r="F600" s="338">
        <f t="shared" si="19"/>
        <v>0</v>
      </c>
      <c r="G600" s="339"/>
    </row>
    <row r="601" spans="1:7" s="278" customFormat="1">
      <c r="A601" s="336"/>
      <c r="B601" s="361" t="s">
        <v>297</v>
      </c>
      <c r="C601" s="285" t="s">
        <v>27</v>
      </c>
      <c r="D601" s="301">
        <f>7.3</f>
        <v>7.3</v>
      </c>
      <c r="E601" s="45"/>
      <c r="F601" s="338">
        <f t="shared" si="19"/>
        <v>0</v>
      </c>
      <c r="G601" s="339"/>
    </row>
    <row r="602" spans="1:7" s="278" customFormat="1">
      <c r="A602" s="336"/>
      <c r="B602" s="361" t="s">
        <v>61</v>
      </c>
      <c r="C602" s="285" t="s">
        <v>27</v>
      </c>
      <c r="D602" s="301">
        <f>7.3</f>
        <v>7.3</v>
      </c>
      <c r="E602" s="45"/>
      <c r="F602" s="338">
        <f t="shared" si="19"/>
        <v>0</v>
      </c>
      <c r="G602" s="339"/>
    </row>
    <row r="603" spans="1:7" s="278" customFormat="1">
      <c r="A603" s="336"/>
      <c r="B603" s="361" t="s">
        <v>321</v>
      </c>
      <c r="C603" s="285" t="s">
        <v>27</v>
      </c>
      <c r="D603" s="301">
        <f>7.3</f>
        <v>7.3</v>
      </c>
      <c r="E603" s="45"/>
      <c r="F603" s="338">
        <f t="shared" si="19"/>
        <v>0</v>
      </c>
      <c r="G603" s="339"/>
    </row>
    <row r="604" spans="1:7" s="278" customFormat="1">
      <c r="A604" s="336"/>
      <c r="B604" s="361"/>
      <c r="C604" s="286"/>
      <c r="D604" s="301"/>
      <c r="E604" s="10"/>
      <c r="F604" s="338">
        <f t="shared" si="19"/>
        <v>0</v>
      </c>
      <c r="G604" s="339"/>
    </row>
    <row r="605" spans="1:7" s="278" customFormat="1">
      <c r="A605" s="336"/>
      <c r="B605" s="386" t="s">
        <v>2017</v>
      </c>
      <c r="C605" s="286"/>
      <c r="D605" s="301"/>
      <c r="E605" s="10"/>
      <c r="F605" s="338">
        <f t="shared" si="19"/>
        <v>0</v>
      </c>
      <c r="G605" s="339"/>
    </row>
    <row r="606" spans="1:7" s="278" customFormat="1">
      <c r="A606" s="336"/>
      <c r="B606" s="386"/>
      <c r="C606" s="286"/>
      <c r="D606" s="301"/>
      <c r="E606" s="10"/>
      <c r="F606" s="338">
        <f t="shared" si="19"/>
        <v>0</v>
      </c>
      <c r="G606" s="339"/>
    </row>
    <row r="607" spans="1:7" s="278" customFormat="1" ht="30">
      <c r="A607" s="419">
        <f>IF(B607&gt;0,MAX(A594:A606)+1,"")</f>
        <v>30</v>
      </c>
      <c r="B607" s="392" t="s">
        <v>2018</v>
      </c>
      <c r="C607" s="286"/>
      <c r="D607" s="301"/>
      <c r="E607" s="10"/>
      <c r="F607" s="338">
        <f t="shared" si="19"/>
        <v>0</v>
      </c>
      <c r="G607" s="339"/>
    </row>
    <row r="608" spans="1:7" s="278" customFormat="1" ht="76.5">
      <c r="A608" s="336"/>
      <c r="B608" s="406" t="s">
        <v>2025</v>
      </c>
      <c r="C608" s="286"/>
      <c r="D608" s="301"/>
      <c r="E608" s="10"/>
      <c r="F608" s="338">
        <f t="shared" si="19"/>
        <v>0</v>
      </c>
      <c r="G608" s="339"/>
    </row>
    <row r="609" spans="1:7" s="278" customFormat="1" ht="25.5">
      <c r="A609" s="336"/>
      <c r="B609" s="406" t="s">
        <v>2019</v>
      </c>
      <c r="C609" s="286"/>
      <c r="D609" s="301"/>
      <c r="E609" s="10"/>
      <c r="F609" s="338">
        <f t="shared" si="19"/>
        <v>0</v>
      </c>
      <c r="G609" s="339"/>
    </row>
    <row r="610" spans="1:7" s="278" customFormat="1" ht="76.5">
      <c r="A610" s="336"/>
      <c r="B610" s="406" t="s">
        <v>2020</v>
      </c>
      <c r="C610" s="286"/>
      <c r="D610" s="301"/>
      <c r="E610" s="10"/>
      <c r="F610" s="338">
        <f t="shared" si="19"/>
        <v>0</v>
      </c>
      <c r="G610" s="339"/>
    </row>
    <row r="611" spans="1:7" s="278" customFormat="1">
      <c r="A611" s="336"/>
      <c r="B611" s="304" t="s">
        <v>328</v>
      </c>
      <c r="C611" s="286"/>
      <c r="D611" s="301"/>
      <c r="E611" s="10"/>
      <c r="F611" s="338">
        <f t="shared" si="19"/>
        <v>0</v>
      </c>
      <c r="G611" s="339"/>
    </row>
    <row r="612" spans="1:7" s="278" customFormat="1">
      <c r="A612" s="336"/>
      <c r="B612" s="361" t="s">
        <v>165</v>
      </c>
      <c r="C612" s="285"/>
      <c r="D612" s="301"/>
      <c r="E612" s="45"/>
      <c r="F612" s="338">
        <f t="shared" si="19"/>
        <v>0</v>
      </c>
      <c r="G612" s="339"/>
    </row>
    <row r="613" spans="1:7" s="278" customFormat="1">
      <c r="A613" s="336"/>
      <c r="B613" s="361" t="s">
        <v>329</v>
      </c>
      <c r="C613" s="285" t="s">
        <v>27</v>
      </c>
      <c r="D613" s="301">
        <f>17.4</f>
        <v>17.399999999999999</v>
      </c>
      <c r="E613" s="45"/>
      <c r="F613" s="338">
        <f t="shared" si="19"/>
        <v>0</v>
      </c>
      <c r="G613" s="339"/>
    </row>
    <row r="614" spans="1:7" s="278" customFormat="1">
      <c r="A614" s="336"/>
      <c r="B614" s="361" t="s">
        <v>330</v>
      </c>
      <c r="C614" s="285" t="s">
        <v>27</v>
      </c>
      <c r="D614" s="301">
        <f>17.4</f>
        <v>17.399999999999999</v>
      </c>
      <c r="E614" s="45"/>
      <c r="F614" s="338">
        <f t="shared" si="19"/>
        <v>0</v>
      </c>
      <c r="G614" s="339"/>
    </row>
    <row r="615" spans="1:7" s="278" customFormat="1">
      <c r="A615" s="336"/>
      <c r="B615" s="361" t="s">
        <v>331</v>
      </c>
      <c r="C615" s="285" t="s">
        <v>27</v>
      </c>
      <c r="D615" s="301">
        <f>17.4</f>
        <v>17.399999999999999</v>
      </c>
      <c r="E615" s="45"/>
      <c r="F615" s="338">
        <f t="shared" si="19"/>
        <v>0</v>
      </c>
      <c r="G615" s="339"/>
    </row>
    <row r="616" spans="1:7" s="278" customFormat="1">
      <c r="A616" s="336"/>
      <c r="B616" s="361"/>
      <c r="C616" s="286"/>
      <c r="D616" s="301"/>
      <c r="E616" s="10"/>
      <c r="F616" s="338">
        <f t="shared" si="19"/>
        <v>0</v>
      </c>
      <c r="G616" s="339"/>
    </row>
    <row r="617" spans="1:7" s="278" customFormat="1">
      <c r="A617" s="419">
        <f>IF(B617&gt;0,MAX(A604:A616)+1,"")</f>
        <v>31</v>
      </c>
      <c r="B617" s="392" t="s">
        <v>2022</v>
      </c>
      <c r="C617" s="286"/>
      <c r="D617" s="301"/>
      <c r="E617" s="10"/>
      <c r="F617" s="338">
        <f t="shared" si="19"/>
        <v>0</v>
      </c>
      <c r="G617" s="339"/>
    </row>
    <row r="618" spans="1:7" s="278" customFormat="1" ht="76.5">
      <c r="A618" s="336"/>
      <c r="B618" s="406" t="s">
        <v>2026</v>
      </c>
      <c r="C618" s="286"/>
      <c r="D618" s="301"/>
      <c r="E618" s="10"/>
      <c r="F618" s="338">
        <f t="shared" si="19"/>
        <v>0</v>
      </c>
      <c r="G618" s="339"/>
    </row>
    <row r="619" spans="1:7" s="278" customFormat="1" ht="38.25">
      <c r="A619" s="336"/>
      <c r="B619" s="406" t="s">
        <v>2023</v>
      </c>
      <c r="C619" s="286"/>
      <c r="D619" s="301"/>
      <c r="E619" s="10"/>
      <c r="F619" s="338">
        <f t="shared" si="19"/>
        <v>0</v>
      </c>
      <c r="G619" s="339"/>
    </row>
    <row r="620" spans="1:7" s="278" customFormat="1">
      <c r="A620" s="336"/>
      <c r="B620" s="304" t="s">
        <v>339</v>
      </c>
      <c r="C620" s="286"/>
      <c r="D620" s="301"/>
      <c r="E620" s="10"/>
      <c r="F620" s="338">
        <f t="shared" si="19"/>
        <v>0</v>
      </c>
      <c r="G620" s="339"/>
    </row>
    <row r="621" spans="1:7" s="278" customFormat="1">
      <c r="A621" s="336"/>
      <c r="B621" s="361" t="s">
        <v>165</v>
      </c>
      <c r="C621" s="285"/>
      <c r="D621" s="301"/>
      <c r="E621" s="45"/>
      <c r="F621" s="338">
        <f t="shared" si="19"/>
        <v>0</v>
      </c>
      <c r="G621" s="339"/>
    </row>
    <row r="622" spans="1:7" s="278" customFormat="1">
      <c r="A622" s="336"/>
      <c r="B622" s="361" t="s">
        <v>2024</v>
      </c>
      <c r="C622" s="285" t="s">
        <v>27</v>
      </c>
      <c r="D622" s="301">
        <v>225.5</v>
      </c>
      <c r="E622" s="45"/>
      <c r="F622" s="338">
        <f t="shared" si="19"/>
        <v>0</v>
      </c>
      <c r="G622" s="339"/>
    </row>
    <row r="623" spans="1:7" s="278" customFormat="1">
      <c r="A623" s="336"/>
      <c r="B623" s="361"/>
      <c r="C623" s="286"/>
      <c r="D623" s="301"/>
      <c r="E623" s="10"/>
      <c r="F623" s="338">
        <f t="shared" si="19"/>
        <v>0</v>
      </c>
      <c r="G623" s="339"/>
    </row>
    <row r="624" spans="1:7" s="278" customFormat="1">
      <c r="A624" s="419">
        <f>IF(B624&gt;0,MAX(A611:A623)+1,"")</f>
        <v>32</v>
      </c>
      <c r="B624" s="386" t="s">
        <v>2022</v>
      </c>
      <c r="C624" s="286"/>
      <c r="D624" s="301"/>
      <c r="E624" s="10"/>
      <c r="F624" s="338">
        <f t="shared" si="19"/>
        <v>0</v>
      </c>
      <c r="G624" s="339"/>
    </row>
    <row r="625" spans="1:7" s="278" customFormat="1" ht="76.5">
      <c r="A625" s="336"/>
      <c r="B625" s="406" t="s">
        <v>2025</v>
      </c>
      <c r="C625" s="286"/>
      <c r="D625" s="301"/>
      <c r="E625" s="10"/>
      <c r="F625" s="338">
        <f t="shared" si="19"/>
        <v>0</v>
      </c>
      <c r="G625" s="339"/>
    </row>
    <row r="626" spans="1:7" s="278" customFormat="1" ht="38.25">
      <c r="A626" s="336"/>
      <c r="B626" s="406" t="s">
        <v>2023</v>
      </c>
      <c r="C626" s="286"/>
      <c r="D626" s="301"/>
      <c r="E626" s="10"/>
      <c r="F626" s="338">
        <f t="shared" si="19"/>
        <v>0</v>
      </c>
      <c r="G626" s="339"/>
    </row>
    <row r="627" spans="1:7" s="278" customFormat="1">
      <c r="A627" s="336"/>
      <c r="B627" s="304" t="s">
        <v>352</v>
      </c>
      <c r="C627" s="286"/>
      <c r="D627" s="301"/>
      <c r="E627" s="10"/>
      <c r="F627" s="338">
        <f t="shared" si="19"/>
        <v>0</v>
      </c>
      <c r="G627" s="339"/>
    </row>
    <row r="628" spans="1:7" s="278" customFormat="1">
      <c r="A628" s="336"/>
      <c r="B628" s="361" t="s">
        <v>165</v>
      </c>
      <c r="C628" s="285"/>
      <c r="D628" s="301"/>
      <c r="E628" s="45"/>
      <c r="F628" s="338">
        <f t="shared" si="19"/>
        <v>0</v>
      </c>
      <c r="G628" s="339"/>
    </row>
    <row r="629" spans="1:7" s="278" customFormat="1">
      <c r="A629" s="336"/>
      <c r="B629" s="361" t="s">
        <v>353</v>
      </c>
      <c r="C629" s="285" t="s">
        <v>27</v>
      </c>
      <c r="D629" s="301">
        <f>67.4</f>
        <v>67.400000000000006</v>
      </c>
      <c r="E629" s="45"/>
      <c r="F629" s="338">
        <f t="shared" si="19"/>
        <v>0</v>
      </c>
      <c r="G629" s="339"/>
    </row>
    <row r="630" spans="1:7" s="278" customFormat="1">
      <c r="A630" s="336"/>
      <c r="B630" s="361"/>
      <c r="C630" s="286"/>
      <c r="D630" s="301"/>
      <c r="E630" s="10"/>
      <c r="F630" s="338">
        <f t="shared" si="19"/>
        <v>0</v>
      </c>
      <c r="G630" s="339"/>
    </row>
    <row r="631" spans="1:7" s="278" customFormat="1">
      <c r="A631" s="419">
        <f>IF(B631&gt;0,MAX(A618:A630)+1,"")</f>
        <v>33</v>
      </c>
      <c r="B631" s="386" t="s">
        <v>4588</v>
      </c>
      <c r="C631" s="286"/>
      <c r="D631" s="301"/>
      <c r="E631" s="10"/>
      <c r="F631" s="338">
        <f t="shared" si="19"/>
        <v>0</v>
      </c>
      <c r="G631" s="339"/>
    </row>
    <row r="632" spans="1:7" s="278" customFormat="1" ht="76.5">
      <c r="A632" s="336"/>
      <c r="B632" s="406" t="s">
        <v>2027</v>
      </c>
      <c r="C632" s="286"/>
      <c r="D632" s="301"/>
      <c r="E632" s="10"/>
      <c r="F632" s="338">
        <f t="shared" si="19"/>
        <v>0</v>
      </c>
      <c r="G632" s="339"/>
    </row>
    <row r="633" spans="1:7" s="278" customFormat="1" ht="38.25">
      <c r="A633" s="336"/>
      <c r="B633" s="406" t="s">
        <v>2023</v>
      </c>
      <c r="C633" s="286"/>
      <c r="D633" s="301"/>
      <c r="E633" s="10"/>
      <c r="F633" s="338">
        <f t="shared" si="19"/>
        <v>0</v>
      </c>
      <c r="G633" s="339"/>
    </row>
    <row r="634" spans="1:7" s="278" customFormat="1">
      <c r="A634" s="336"/>
      <c r="B634" s="304" t="s">
        <v>211</v>
      </c>
      <c r="C634" s="286"/>
      <c r="D634" s="301"/>
      <c r="E634" s="10"/>
      <c r="F634" s="338">
        <f t="shared" si="19"/>
        <v>0</v>
      </c>
      <c r="G634" s="339"/>
    </row>
    <row r="635" spans="1:7" s="278" customFormat="1">
      <c r="A635" s="336"/>
      <c r="B635" s="361" t="s">
        <v>165</v>
      </c>
      <c r="C635" s="285"/>
      <c r="D635" s="301"/>
      <c r="E635" s="45"/>
      <c r="F635" s="338">
        <f t="shared" si="19"/>
        <v>0</v>
      </c>
      <c r="G635" s="339"/>
    </row>
    <row r="636" spans="1:7" s="278" customFormat="1">
      <c r="A636" s="336"/>
      <c r="B636" s="361" t="s">
        <v>364</v>
      </c>
      <c r="C636" s="285" t="s">
        <v>27</v>
      </c>
      <c r="D636" s="301">
        <f>237.6</f>
        <v>237.6</v>
      </c>
      <c r="E636" s="45"/>
      <c r="F636" s="338">
        <f t="shared" si="19"/>
        <v>0</v>
      </c>
      <c r="G636" s="339"/>
    </row>
    <row r="637" spans="1:7" s="278" customFormat="1">
      <c r="A637" s="336"/>
      <c r="B637" s="361"/>
      <c r="C637" s="286"/>
      <c r="D637" s="301"/>
      <c r="E637" s="10"/>
      <c r="F637" s="338">
        <f t="shared" si="19"/>
        <v>0</v>
      </c>
      <c r="G637" s="339"/>
    </row>
    <row r="638" spans="1:7" s="278" customFormat="1">
      <c r="A638" s="419">
        <f>IF(B638&gt;0,MAX(A625:A637)+1,"")</f>
        <v>34</v>
      </c>
      <c r="B638" s="386" t="s">
        <v>4588</v>
      </c>
      <c r="C638" s="286"/>
      <c r="D638" s="301"/>
      <c r="E638" s="10"/>
      <c r="F638" s="338">
        <f t="shared" si="19"/>
        <v>0</v>
      </c>
      <c r="G638" s="339"/>
    </row>
    <row r="639" spans="1:7" s="278" customFormat="1" ht="76.5">
      <c r="A639" s="336"/>
      <c r="B639" s="406" t="s">
        <v>2028</v>
      </c>
      <c r="C639" s="286"/>
      <c r="D639" s="301"/>
      <c r="E639" s="10"/>
      <c r="F639" s="338">
        <f t="shared" ref="F639:F755" si="20">D639*E639</f>
        <v>0</v>
      </c>
      <c r="G639" s="339"/>
    </row>
    <row r="640" spans="1:7" s="278" customFormat="1" ht="38.25">
      <c r="A640" s="336"/>
      <c r="B640" s="406" t="s">
        <v>2029</v>
      </c>
      <c r="C640" s="286"/>
      <c r="D640" s="301"/>
      <c r="E640" s="10"/>
      <c r="F640" s="338">
        <f t="shared" si="20"/>
        <v>0</v>
      </c>
      <c r="G640" s="339"/>
    </row>
    <row r="641" spans="1:7" s="278" customFormat="1">
      <c r="A641" s="336"/>
      <c r="B641" s="304" t="s">
        <v>365</v>
      </c>
      <c r="C641" s="286"/>
      <c r="D641" s="301"/>
      <c r="E641" s="10"/>
      <c r="F641" s="338">
        <f t="shared" si="20"/>
        <v>0</v>
      </c>
      <c r="G641" s="339"/>
    </row>
    <row r="642" spans="1:7" s="278" customFormat="1">
      <c r="A642" s="336"/>
      <c r="B642" s="361" t="s">
        <v>165</v>
      </c>
      <c r="C642" s="285"/>
      <c r="D642" s="301"/>
      <c r="E642" s="45"/>
      <c r="F642" s="338">
        <f t="shared" si="20"/>
        <v>0</v>
      </c>
      <c r="G642" s="339"/>
    </row>
    <row r="643" spans="1:7" s="278" customFormat="1">
      <c r="A643" s="336"/>
      <c r="B643" s="361" t="s">
        <v>2030</v>
      </c>
      <c r="C643" s="285" t="s">
        <v>27</v>
      </c>
      <c r="D643" s="301">
        <v>74.2</v>
      </c>
      <c r="E643" s="45"/>
      <c r="F643" s="338">
        <f t="shared" si="20"/>
        <v>0</v>
      </c>
      <c r="G643" s="339"/>
    </row>
    <row r="644" spans="1:7" s="278" customFormat="1">
      <c r="A644" s="336"/>
      <c r="B644" s="361"/>
      <c r="C644" s="286"/>
      <c r="D644" s="301"/>
      <c r="E644" s="10"/>
      <c r="F644" s="338">
        <f t="shared" si="20"/>
        <v>0</v>
      </c>
      <c r="G644" s="339"/>
    </row>
    <row r="645" spans="1:7" s="278" customFormat="1">
      <c r="A645" s="336"/>
      <c r="B645" s="386" t="s">
        <v>60</v>
      </c>
      <c r="C645" s="285"/>
      <c r="D645" s="318"/>
      <c r="E645" s="45"/>
      <c r="F645" s="338">
        <f t="shared" si="20"/>
        <v>0</v>
      </c>
      <c r="G645" s="339"/>
    </row>
    <row r="646" spans="1:7" s="278" customFormat="1">
      <c r="A646" s="336"/>
      <c r="B646" s="386"/>
      <c r="C646" s="285"/>
      <c r="D646" s="318"/>
      <c r="E646" s="45"/>
      <c r="F646" s="338">
        <f t="shared" si="20"/>
        <v>0</v>
      </c>
      <c r="G646" s="339"/>
    </row>
    <row r="647" spans="1:7" s="278" customFormat="1">
      <c r="A647" s="431"/>
      <c r="B647" s="1675" t="s">
        <v>59</v>
      </c>
      <c r="C647" s="1675"/>
      <c r="D647" s="432"/>
      <c r="E647" s="518"/>
      <c r="F647" s="338">
        <f t="shared" si="20"/>
        <v>0</v>
      </c>
      <c r="G647" s="339"/>
    </row>
    <row r="648" spans="1:7" s="278" customFormat="1" ht="89.25">
      <c r="A648" s="431" t="s">
        <v>45</v>
      </c>
      <c r="B648" s="433" t="s">
        <v>58</v>
      </c>
      <c r="C648" s="433"/>
      <c r="D648" s="432"/>
      <c r="E648" s="518"/>
      <c r="F648" s="338">
        <f t="shared" si="20"/>
        <v>0</v>
      </c>
      <c r="G648" s="339"/>
    </row>
    <row r="649" spans="1:7" s="278" customFormat="1" ht="25.5">
      <c r="A649" s="431" t="s">
        <v>43</v>
      </c>
      <c r="B649" s="433" t="s">
        <v>57</v>
      </c>
      <c r="C649" s="433"/>
      <c r="D649" s="432"/>
      <c r="E649" s="518"/>
      <c r="F649" s="338">
        <f t="shared" si="20"/>
        <v>0</v>
      </c>
      <c r="G649" s="339"/>
    </row>
    <row r="650" spans="1:7" s="278" customFormat="1" ht="38.25">
      <c r="A650" s="431" t="s">
        <v>41</v>
      </c>
      <c r="B650" s="433" t="s">
        <v>56</v>
      </c>
      <c r="C650" s="433"/>
      <c r="D650" s="432"/>
      <c r="E650" s="518"/>
      <c r="F650" s="338">
        <f t="shared" si="20"/>
        <v>0</v>
      </c>
      <c r="G650" s="339"/>
    </row>
    <row r="651" spans="1:7" s="278" customFormat="1" ht="89.25">
      <c r="A651" s="284"/>
      <c r="B651" s="434" t="s">
        <v>190</v>
      </c>
      <c r="C651" s="286"/>
      <c r="D651" s="287"/>
      <c r="E651" s="13"/>
      <c r="F651" s="338">
        <f t="shared" si="20"/>
        <v>0</v>
      </c>
      <c r="G651" s="339"/>
    </row>
    <row r="652" spans="1:7" s="278" customFormat="1" ht="114.75">
      <c r="A652" s="284"/>
      <c r="B652" s="434" t="s">
        <v>191</v>
      </c>
      <c r="C652" s="286"/>
      <c r="D652" s="287"/>
      <c r="E652" s="13"/>
      <c r="F652" s="338">
        <f t="shared" si="20"/>
        <v>0</v>
      </c>
      <c r="G652" s="339"/>
    </row>
    <row r="653" spans="1:7" s="278" customFormat="1">
      <c r="A653" s="336"/>
      <c r="B653" s="386"/>
      <c r="C653" s="285"/>
      <c r="D653" s="318"/>
      <c r="E653" s="45"/>
      <c r="F653" s="338">
        <f t="shared" si="20"/>
        <v>0</v>
      </c>
      <c r="G653" s="339"/>
    </row>
    <row r="654" spans="1:7" s="278" customFormat="1">
      <c r="A654" s="344"/>
      <c r="B654" s="386" t="s">
        <v>1519</v>
      </c>
      <c r="C654" s="309"/>
      <c r="D654" s="316"/>
      <c r="E654" s="352"/>
      <c r="F654" s="338">
        <f t="shared" si="20"/>
        <v>0</v>
      </c>
      <c r="G654" s="339"/>
    </row>
    <row r="655" spans="1:7" s="278" customFormat="1">
      <c r="A655" s="344"/>
      <c r="B655" s="435"/>
      <c r="C655" s="309"/>
      <c r="D655" s="316"/>
      <c r="E655" s="352"/>
      <c r="F655" s="338">
        <f t="shared" si="20"/>
        <v>0</v>
      </c>
      <c r="G655" s="339"/>
    </row>
    <row r="656" spans="1:7" s="278" customFormat="1">
      <c r="A656" s="419">
        <f>IF(B656&gt;0,MAX(A638:A655)+1,"")</f>
        <v>35</v>
      </c>
      <c r="B656" s="386" t="s">
        <v>448</v>
      </c>
      <c r="C656" s="285"/>
      <c r="D656" s="318"/>
      <c r="E656" s="45"/>
      <c r="F656" s="338">
        <f t="shared" si="20"/>
        <v>0</v>
      </c>
      <c r="G656" s="339"/>
    </row>
    <row r="657" spans="1:7" s="278" customFormat="1" ht="38.25">
      <c r="A657" s="336"/>
      <c r="B657" s="436" t="s">
        <v>442</v>
      </c>
      <c r="C657" s="285"/>
      <c r="D657" s="318"/>
      <c r="E657" s="45"/>
      <c r="F657" s="338">
        <f t="shared" si="20"/>
        <v>0</v>
      </c>
      <c r="G657" s="339"/>
    </row>
    <row r="658" spans="1:7" s="278" customFormat="1" ht="89.25">
      <c r="A658" s="336"/>
      <c r="B658" s="437" t="s">
        <v>197</v>
      </c>
      <c r="C658" s="285"/>
      <c r="D658" s="318"/>
      <c r="E658" s="45"/>
      <c r="F658" s="338">
        <f t="shared" si="20"/>
        <v>0</v>
      </c>
      <c r="G658" s="339"/>
    </row>
    <row r="659" spans="1:7" s="278" customFormat="1" ht="102">
      <c r="A659" s="438" t="s">
        <v>55</v>
      </c>
      <c r="B659" s="439" t="s">
        <v>441</v>
      </c>
      <c r="C659" s="285"/>
      <c r="D659" s="318"/>
      <c r="E659" s="45"/>
      <c r="F659" s="338">
        <f t="shared" si="20"/>
        <v>0</v>
      </c>
      <c r="G659" s="339"/>
    </row>
    <row r="660" spans="1:7" s="278" customFormat="1" ht="165.75">
      <c r="A660" s="438" t="s">
        <v>54</v>
      </c>
      <c r="B660" s="440" t="s">
        <v>166</v>
      </c>
      <c r="C660" s="285"/>
      <c r="D660" s="318"/>
      <c r="E660" s="45"/>
      <c r="F660" s="338">
        <f t="shared" si="20"/>
        <v>0</v>
      </c>
      <c r="G660" s="339"/>
    </row>
    <row r="661" spans="1:7" s="278" customFormat="1" ht="69.75" customHeight="1">
      <c r="A661" s="438" t="s">
        <v>168</v>
      </c>
      <c r="B661" s="441" t="s">
        <v>192</v>
      </c>
      <c r="C661" s="285"/>
      <c r="D661" s="318"/>
      <c r="E661" s="45"/>
      <c r="F661" s="338">
        <f t="shared" si="20"/>
        <v>0</v>
      </c>
      <c r="G661" s="339"/>
    </row>
    <row r="662" spans="1:7" s="278" customFormat="1">
      <c r="A662" s="438" t="s">
        <v>52</v>
      </c>
      <c r="B662" s="442" t="s">
        <v>443</v>
      </c>
      <c r="C662" s="285"/>
      <c r="D662" s="318"/>
      <c r="E662" s="45"/>
      <c r="F662" s="338">
        <f t="shared" si="20"/>
        <v>0</v>
      </c>
      <c r="G662" s="339"/>
    </row>
    <row r="663" spans="1:7" s="278" customFormat="1" ht="38.25">
      <c r="A663" s="336"/>
      <c r="B663" s="433" t="s">
        <v>167</v>
      </c>
      <c r="C663" s="285"/>
      <c r="D663" s="318"/>
      <c r="E663" s="45"/>
      <c r="F663" s="338">
        <f t="shared" si="20"/>
        <v>0</v>
      </c>
      <c r="G663" s="339"/>
    </row>
    <row r="664" spans="1:7" s="278" customFormat="1">
      <c r="A664" s="336"/>
      <c r="B664" s="433" t="s">
        <v>444</v>
      </c>
      <c r="C664" s="285"/>
      <c r="D664" s="318"/>
      <c r="E664" s="45"/>
      <c r="F664" s="338">
        <f t="shared" si="20"/>
        <v>0</v>
      </c>
      <c r="G664" s="339"/>
    </row>
    <row r="665" spans="1:7" s="278" customFormat="1">
      <c r="A665" s="336"/>
      <c r="B665" s="433" t="s">
        <v>51</v>
      </c>
      <c r="C665" s="285"/>
      <c r="D665" s="301"/>
      <c r="E665" s="45"/>
      <c r="F665" s="338">
        <f t="shared" si="20"/>
        <v>0</v>
      </c>
      <c r="G665" s="339"/>
    </row>
    <row r="666" spans="1:7" s="278" customFormat="1">
      <c r="A666" s="336"/>
      <c r="B666" s="433" t="s">
        <v>445</v>
      </c>
      <c r="C666" s="285" t="s">
        <v>27</v>
      </c>
      <c r="D666" s="301">
        <v>9.4</v>
      </c>
      <c r="E666" s="45"/>
      <c r="F666" s="338">
        <f t="shared" si="20"/>
        <v>0</v>
      </c>
      <c r="G666" s="339"/>
    </row>
    <row r="667" spans="1:7">
      <c r="A667" s="336"/>
      <c r="B667" s="433" t="s">
        <v>446</v>
      </c>
      <c r="C667" s="285" t="s">
        <v>27</v>
      </c>
      <c r="D667" s="301">
        <v>28.6</v>
      </c>
      <c r="E667" s="45"/>
      <c r="F667" s="338">
        <f t="shared" si="20"/>
        <v>0</v>
      </c>
    </row>
    <row r="668" spans="1:7">
      <c r="A668" s="336"/>
      <c r="B668" s="423" t="s">
        <v>447</v>
      </c>
      <c r="C668" s="285" t="s">
        <v>27</v>
      </c>
      <c r="D668" s="318">
        <f>8.1+24.3</f>
        <v>32.4</v>
      </c>
      <c r="E668" s="45"/>
      <c r="F668" s="338">
        <f t="shared" si="20"/>
        <v>0</v>
      </c>
    </row>
    <row r="669" spans="1:7" s="278" customFormat="1">
      <c r="A669" s="344"/>
      <c r="B669" s="435"/>
      <c r="C669" s="309"/>
      <c r="D669" s="316"/>
      <c r="E669" s="352"/>
      <c r="F669" s="338">
        <f t="shared" si="20"/>
        <v>0</v>
      </c>
      <c r="G669" s="339"/>
    </row>
    <row r="670" spans="1:7" s="278" customFormat="1">
      <c r="A670" s="419">
        <f>IF(B670&gt;0,MAX(A656:A669)+1,"")</f>
        <v>36</v>
      </c>
      <c r="B670" s="386" t="s">
        <v>1520</v>
      </c>
      <c r="C670" s="285"/>
      <c r="D670" s="318"/>
      <c r="E670" s="45"/>
      <c r="F670" s="338">
        <f t="shared" si="20"/>
        <v>0</v>
      </c>
      <c r="G670" s="339"/>
    </row>
    <row r="671" spans="1:7" s="278" customFormat="1" ht="38.25">
      <c r="A671" s="336"/>
      <c r="B671" s="436" t="s">
        <v>442</v>
      </c>
      <c r="C671" s="285"/>
      <c r="D671" s="318"/>
      <c r="E671" s="45"/>
      <c r="F671" s="338">
        <f t="shared" si="20"/>
        <v>0</v>
      </c>
      <c r="G671" s="339"/>
    </row>
    <row r="672" spans="1:7" s="278" customFormat="1" ht="89.25">
      <c r="A672" s="336"/>
      <c r="B672" s="437" t="s">
        <v>197</v>
      </c>
      <c r="C672" s="285"/>
      <c r="D672" s="318"/>
      <c r="E672" s="45"/>
      <c r="F672" s="338">
        <f t="shared" si="20"/>
        <v>0</v>
      </c>
      <c r="G672" s="339"/>
    </row>
    <row r="673" spans="1:7" s="278" customFormat="1" ht="51">
      <c r="A673" s="443" t="s">
        <v>55</v>
      </c>
      <c r="B673" s="437" t="s">
        <v>449</v>
      </c>
      <c r="C673" s="285"/>
      <c r="D673" s="318"/>
      <c r="E673" s="45"/>
      <c r="F673" s="338">
        <f t="shared" si="20"/>
        <v>0</v>
      </c>
      <c r="G673" s="339"/>
    </row>
    <row r="674" spans="1:7" s="278" customFormat="1" ht="102">
      <c r="A674" s="438" t="s">
        <v>54</v>
      </c>
      <c r="B674" s="439" t="s">
        <v>441</v>
      </c>
      <c r="C674" s="285"/>
      <c r="D674" s="318"/>
      <c r="E674" s="45"/>
      <c r="F674" s="338">
        <f t="shared" si="20"/>
        <v>0</v>
      </c>
      <c r="G674" s="339"/>
    </row>
    <row r="675" spans="1:7" s="278" customFormat="1" ht="165.75">
      <c r="A675" s="438" t="s">
        <v>53</v>
      </c>
      <c r="B675" s="440" t="s">
        <v>166</v>
      </c>
      <c r="C675" s="285"/>
      <c r="D675" s="318"/>
      <c r="E675" s="45"/>
      <c r="F675" s="338">
        <f t="shared" si="20"/>
        <v>0</v>
      </c>
      <c r="G675" s="339"/>
    </row>
    <row r="676" spans="1:7" s="278" customFormat="1" ht="76.5">
      <c r="A676" s="438" t="s">
        <v>450</v>
      </c>
      <c r="B676" s="441" t="s">
        <v>192</v>
      </c>
      <c r="C676" s="285"/>
      <c r="D676" s="318"/>
      <c r="E676" s="45"/>
      <c r="F676" s="338">
        <f t="shared" si="20"/>
        <v>0</v>
      </c>
      <c r="G676" s="339"/>
    </row>
    <row r="677" spans="1:7" s="278" customFormat="1">
      <c r="A677" s="438" t="s">
        <v>451</v>
      </c>
      <c r="B677" s="442" t="s">
        <v>443</v>
      </c>
      <c r="C677" s="285"/>
      <c r="D677" s="318"/>
      <c r="E677" s="45"/>
      <c r="F677" s="338">
        <f t="shared" si="20"/>
        <v>0</v>
      </c>
      <c r="G677" s="339"/>
    </row>
    <row r="678" spans="1:7" s="278" customFormat="1" ht="38.25">
      <c r="A678" s="336"/>
      <c r="B678" s="433" t="s">
        <v>167</v>
      </c>
      <c r="C678" s="285"/>
      <c r="D678" s="318"/>
      <c r="E678" s="45"/>
      <c r="F678" s="338">
        <f t="shared" si="20"/>
        <v>0</v>
      </c>
      <c r="G678" s="339"/>
    </row>
    <row r="679" spans="1:7" s="278" customFormat="1">
      <c r="A679" s="336"/>
      <c r="B679" s="433" t="s">
        <v>453</v>
      </c>
      <c r="C679" s="285"/>
      <c r="D679" s="318"/>
      <c r="E679" s="45"/>
      <c r="F679" s="338">
        <f t="shared" si="20"/>
        <v>0</v>
      </c>
      <c r="G679" s="339"/>
    </row>
    <row r="680" spans="1:7" s="278" customFormat="1">
      <c r="A680" s="336"/>
      <c r="B680" s="433" t="s">
        <v>51</v>
      </c>
      <c r="C680" s="285"/>
      <c r="D680" s="301"/>
      <c r="E680" s="45"/>
      <c r="F680" s="338">
        <f t="shared" si="20"/>
        <v>0</v>
      </c>
      <c r="G680" s="339"/>
    </row>
    <row r="681" spans="1:7" s="278" customFormat="1">
      <c r="A681" s="336"/>
      <c r="B681" s="433" t="s">
        <v>452</v>
      </c>
      <c r="C681" s="285" t="s">
        <v>27</v>
      </c>
      <c r="D681" s="301">
        <f>16.6+8.3+47.2</f>
        <v>72.099999999999994</v>
      </c>
      <c r="E681" s="45"/>
      <c r="F681" s="338">
        <f t="shared" si="20"/>
        <v>0</v>
      </c>
      <c r="G681" s="339"/>
    </row>
    <row r="682" spans="1:7">
      <c r="A682" s="336"/>
      <c r="B682" s="433" t="s">
        <v>454</v>
      </c>
      <c r="C682" s="285" t="s">
        <v>27</v>
      </c>
      <c r="D682" s="301">
        <f>16.6+8.3</f>
        <v>24.9</v>
      </c>
      <c r="E682" s="45"/>
      <c r="F682" s="338">
        <f t="shared" si="20"/>
        <v>0</v>
      </c>
    </row>
    <row r="683" spans="1:7" s="278" customFormat="1">
      <c r="A683" s="336"/>
      <c r="B683" s="433" t="s">
        <v>455</v>
      </c>
      <c r="C683" s="285" t="s">
        <v>27</v>
      </c>
      <c r="D683" s="301">
        <v>47.2</v>
      </c>
      <c r="E683" s="45"/>
      <c r="F683" s="338">
        <f t="shared" si="20"/>
        <v>0</v>
      </c>
      <c r="G683" s="339"/>
    </row>
    <row r="684" spans="1:7" s="278" customFormat="1">
      <c r="A684" s="336"/>
      <c r="B684" s="423" t="s">
        <v>447</v>
      </c>
      <c r="C684" s="285" t="s">
        <v>27</v>
      </c>
      <c r="D684" s="318">
        <f>D682+42.9</f>
        <v>67.8</v>
      </c>
      <c r="E684" s="45"/>
      <c r="F684" s="338">
        <f t="shared" si="20"/>
        <v>0</v>
      </c>
      <c r="G684" s="339"/>
    </row>
    <row r="685" spans="1:7" s="278" customFormat="1">
      <c r="A685" s="336"/>
      <c r="B685" s="423"/>
      <c r="C685" s="285"/>
      <c r="D685" s="318"/>
      <c r="E685" s="45"/>
      <c r="F685" s="338">
        <f t="shared" si="20"/>
        <v>0</v>
      </c>
      <c r="G685" s="339"/>
    </row>
    <row r="686" spans="1:7" s="278" customFormat="1">
      <c r="A686" s="336"/>
      <c r="B686" s="386" t="s">
        <v>1285</v>
      </c>
      <c r="C686" s="285"/>
      <c r="D686" s="318"/>
      <c r="E686" s="45"/>
      <c r="F686" s="338">
        <f t="shared" si="20"/>
        <v>0</v>
      </c>
      <c r="G686" s="339"/>
    </row>
    <row r="687" spans="1:7" s="278" customFormat="1">
      <c r="A687" s="336"/>
      <c r="B687" s="423"/>
      <c r="C687" s="285"/>
      <c r="D687" s="318"/>
      <c r="E687" s="45"/>
      <c r="F687" s="338">
        <f t="shared" si="20"/>
        <v>0</v>
      </c>
      <c r="G687" s="339"/>
    </row>
    <row r="688" spans="1:7" s="278" customFormat="1">
      <c r="A688" s="419">
        <f>IF(B688&gt;0,MAX(A669:A687)+1,"")</f>
        <v>37</v>
      </c>
      <c r="B688" s="386" t="s">
        <v>1286</v>
      </c>
      <c r="C688" s="285"/>
      <c r="D688" s="318"/>
      <c r="E688" s="45"/>
      <c r="F688" s="338">
        <f t="shared" si="20"/>
        <v>0</v>
      </c>
      <c r="G688" s="339"/>
    </row>
    <row r="689" spans="1:7" s="278" customFormat="1" ht="89.25">
      <c r="A689" s="336"/>
      <c r="B689" s="337" t="s">
        <v>1287</v>
      </c>
      <c r="C689" s="285"/>
      <c r="D689" s="318"/>
      <c r="E689" s="45"/>
      <c r="F689" s="338">
        <f t="shared" si="20"/>
        <v>0</v>
      </c>
      <c r="G689" s="339"/>
    </row>
    <row r="690" spans="1:7" s="278" customFormat="1">
      <c r="A690" s="336"/>
      <c r="B690" s="337" t="s">
        <v>2138</v>
      </c>
      <c r="C690" s="285"/>
      <c r="D690" s="318"/>
      <c r="E690" s="45"/>
      <c r="F690" s="338"/>
      <c r="G690" s="339"/>
    </row>
    <row r="691" spans="1:7" s="278" customFormat="1">
      <c r="A691" s="336"/>
      <c r="B691" s="423" t="s">
        <v>1288</v>
      </c>
      <c r="C691" s="285" t="s">
        <v>27</v>
      </c>
      <c r="D691" s="318">
        <f>1680+105</f>
        <v>1785</v>
      </c>
      <c r="E691" s="45"/>
      <c r="F691" s="338">
        <f t="shared" si="20"/>
        <v>0</v>
      </c>
      <c r="G691" s="339"/>
    </row>
    <row r="692" spans="1:7" s="278" customFormat="1">
      <c r="A692" s="336"/>
      <c r="B692" s="423"/>
      <c r="C692" s="285"/>
      <c r="D692" s="318"/>
      <c r="E692" s="45"/>
      <c r="F692" s="338">
        <f t="shared" si="20"/>
        <v>0</v>
      </c>
      <c r="G692" s="339"/>
    </row>
    <row r="693" spans="1:7" s="278" customFormat="1">
      <c r="A693" s="419">
        <f>IF(B693&gt;0,MAX(A673:A692)+1,"")</f>
        <v>38</v>
      </c>
      <c r="B693" s="386" t="s">
        <v>2136</v>
      </c>
      <c r="C693" s="285"/>
      <c r="D693" s="318"/>
      <c r="E693" s="45"/>
      <c r="F693" s="338">
        <f t="shared" ref="F693:F697" si="21">D693*E693</f>
        <v>0</v>
      </c>
      <c r="G693" s="339"/>
    </row>
    <row r="694" spans="1:7" s="278" customFormat="1" ht="127.5">
      <c r="A694" s="336"/>
      <c r="B694" s="337" t="s">
        <v>2189</v>
      </c>
      <c r="C694" s="285"/>
      <c r="D694" s="318"/>
      <c r="E694" s="45"/>
      <c r="F694" s="338">
        <f t="shared" si="21"/>
        <v>0</v>
      </c>
      <c r="G694" s="339"/>
    </row>
    <row r="695" spans="1:7" s="278" customFormat="1">
      <c r="A695" s="336"/>
      <c r="B695" s="337" t="s">
        <v>2138</v>
      </c>
      <c r="C695" s="285"/>
      <c r="D695" s="318"/>
      <c r="E695" s="45"/>
      <c r="F695" s="338"/>
      <c r="G695" s="339"/>
    </row>
    <row r="696" spans="1:7" s="278" customFormat="1">
      <c r="A696" s="336"/>
      <c r="B696" s="423" t="s">
        <v>2137</v>
      </c>
      <c r="C696" s="285" t="s">
        <v>27</v>
      </c>
      <c r="D696" s="318">
        <f>1680+105</f>
        <v>1785</v>
      </c>
      <c r="E696" s="45"/>
      <c r="F696" s="338">
        <f t="shared" si="21"/>
        <v>0</v>
      </c>
      <c r="G696" s="339"/>
    </row>
    <row r="697" spans="1:7" s="278" customFormat="1">
      <c r="A697" s="336"/>
      <c r="B697" s="423"/>
      <c r="C697" s="285"/>
      <c r="D697" s="318"/>
      <c r="E697" s="45"/>
      <c r="F697" s="338">
        <f t="shared" si="21"/>
        <v>0</v>
      </c>
      <c r="G697" s="339"/>
    </row>
    <row r="698" spans="1:7" s="278" customFormat="1">
      <c r="A698" s="419">
        <f>IF(B698&gt;0,MAX(A678:A697)+1,"")</f>
        <v>39</v>
      </c>
      <c r="B698" s="386" t="s">
        <v>2140</v>
      </c>
      <c r="C698" s="285"/>
      <c r="D698" s="318"/>
      <c r="E698" s="45"/>
      <c r="F698" s="338">
        <f t="shared" ref="F698:F699" si="22">D698*E698</f>
        <v>0</v>
      </c>
      <c r="G698" s="339"/>
    </row>
    <row r="699" spans="1:7" s="278" customFormat="1" ht="127.5">
      <c r="A699" s="336"/>
      <c r="B699" s="337" t="s">
        <v>2190</v>
      </c>
      <c r="C699" s="285"/>
      <c r="D699" s="318"/>
      <c r="E699" s="45"/>
      <c r="F699" s="338">
        <f t="shared" si="22"/>
        <v>0</v>
      </c>
      <c r="G699" s="339"/>
    </row>
    <row r="700" spans="1:7" s="278" customFormat="1">
      <c r="A700" s="336"/>
      <c r="B700" s="337" t="s">
        <v>238</v>
      </c>
      <c r="C700" s="285"/>
      <c r="D700" s="318"/>
      <c r="E700" s="45"/>
      <c r="F700" s="338"/>
      <c r="G700" s="339"/>
    </row>
    <row r="701" spans="1:7" s="278" customFormat="1">
      <c r="A701" s="336"/>
      <c r="B701" s="423" t="s">
        <v>2141</v>
      </c>
      <c r="C701" s="285"/>
      <c r="D701" s="318"/>
      <c r="E701" s="45"/>
      <c r="F701" s="338"/>
      <c r="G701" s="339"/>
    </row>
    <row r="702" spans="1:7" s="278" customFormat="1">
      <c r="A702" s="336"/>
      <c r="B702" s="423" t="s">
        <v>2142</v>
      </c>
      <c r="C702" s="285" t="s">
        <v>26</v>
      </c>
      <c r="D702" s="318">
        <f>18.5+18.4</f>
        <v>36.9</v>
      </c>
      <c r="E702" s="45"/>
      <c r="F702" s="338">
        <f>D702*E702</f>
        <v>0</v>
      </c>
      <c r="G702" s="339"/>
    </row>
    <row r="703" spans="1:7" s="278" customFormat="1">
      <c r="A703" s="336"/>
      <c r="B703" s="423" t="s">
        <v>2143</v>
      </c>
      <c r="C703" s="285" t="s">
        <v>26</v>
      </c>
      <c r="D703" s="318">
        <f>20.1+20.7</f>
        <v>40.799999999999997</v>
      </c>
      <c r="E703" s="45"/>
      <c r="F703" s="338">
        <f t="shared" ref="F703:F742" si="23">D703*E703</f>
        <v>0</v>
      </c>
      <c r="G703" s="339"/>
    </row>
    <row r="704" spans="1:7" s="278" customFormat="1">
      <c r="A704" s="336"/>
      <c r="B704" s="423" t="s">
        <v>2144</v>
      </c>
      <c r="C704" s="285" t="s">
        <v>26</v>
      </c>
      <c r="D704" s="318">
        <v>8.8000000000000007</v>
      </c>
      <c r="E704" s="45"/>
      <c r="F704" s="338">
        <f t="shared" si="23"/>
        <v>0</v>
      </c>
      <c r="G704" s="339"/>
    </row>
    <row r="705" spans="1:7" s="278" customFormat="1">
      <c r="A705" s="336"/>
      <c r="B705" s="423" t="s">
        <v>2145</v>
      </c>
      <c r="C705" s="285" t="s">
        <v>26</v>
      </c>
      <c r="D705" s="318">
        <v>7.7</v>
      </c>
      <c r="E705" s="45"/>
      <c r="F705" s="338">
        <f t="shared" si="23"/>
        <v>0</v>
      </c>
      <c r="G705" s="339"/>
    </row>
    <row r="706" spans="1:7" s="278" customFormat="1">
      <c r="A706" s="336"/>
      <c r="B706" s="423" t="s">
        <v>2146</v>
      </c>
      <c r="C706" s="285" t="s">
        <v>26</v>
      </c>
      <c r="D706" s="318">
        <f>6.7+7</f>
        <v>13.7</v>
      </c>
      <c r="E706" s="45"/>
      <c r="F706" s="338">
        <f t="shared" si="23"/>
        <v>0</v>
      </c>
      <c r="G706" s="339"/>
    </row>
    <row r="707" spans="1:7" s="278" customFormat="1">
      <c r="A707" s="336"/>
      <c r="B707" s="423" t="s">
        <v>2147</v>
      </c>
      <c r="C707" s="285" t="s">
        <v>26</v>
      </c>
      <c r="D707" s="318">
        <f>14.1+14.3</f>
        <v>28.4</v>
      </c>
      <c r="E707" s="45"/>
      <c r="F707" s="338">
        <f t="shared" si="23"/>
        <v>0</v>
      </c>
      <c r="G707" s="339"/>
    </row>
    <row r="708" spans="1:7" s="278" customFormat="1">
      <c r="A708" s="336"/>
      <c r="B708" s="423" t="s">
        <v>2148</v>
      </c>
      <c r="C708" s="285" t="s">
        <v>26</v>
      </c>
      <c r="D708" s="318">
        <v>7.7</v>
      </c>
      <c r="E708" s="45"/>
      <c r="F708" s="338">
        <f t="shared" si="23"/>
        <v>0</v>
      </c>
      <c r="G708" s="339"/>
    </row>
    <row r="709" spans="1:7" s="278" customFormat="1">
      <c r="A709" s="336"/>
      <c r="B709" s="423" t="s">
        <v>2149</v>
      </c>
      <c r="C709" s="285" t="s">
        <v>26</v>
      </c>
      <c r="D709" s="318">
        <v>10</v>
      </c>
      <c r="E709" s="45"/>
      <c r="F709" s="338">
        <f t="shared" si="23"/>
        <v>0</v>
      </c>
      <c r="G709" s="339"/>
    </row>
    <row r="710" spans="1:7" s="278" customFormat="1">
      <c r="A710" s="336"/>
      <c r="B710" s="423" t="s">
        <v>2150</v>
      </c>
      <c r="C710" s="285" t="s">
        <v>26</v>
      </c>
      <c r="D710" s="318">
        <v>40.200000000000003</v>
      </c>
      <c r="E710" s="45"/>
      <c r="F710" s="338">
        <f t="shared" si="23"/>
        <v>0</v>
      </c>
      <c r="G710" s="339"/>
    </row>
    <row r="711" spans="1:7" s="278" customFormat="1">
      <c r="A711" s="336"/>
      <c r="B711" s="423" t="s">
        <v>2151</v>
      </c>
      <c r="C711" s="285" t="s">
        <v>26</v>
      </c>
      <c r="D711" s="318">
        <f>20.1+20.7</f>
        <v>40.799999999999997</v>
      </c>
      <c r="E711" s="45"/>
      <c r="F711" s="338">
        <f t="shared" si="23"/>
        <v>0</v>
      </c>
      <c r="G711" s="339"/>
    </row>
    <row r="712" spans="1:7" s="278" customFormat="1">
      <c r="A712" s="336"/>
      <c r="B712" s="423" t="s">
        <v>2152</v>
      </c>
      <c r="C712" s="285" t="s">
        <v>26</v>
      </c>
      <c r="D712" s="318">
        <f>20.1+20.7</f>
        <v>40.799999999999997</v>
      </c>
      <c r="E712" s="45"/>
      <c r="F712" s="338">
        <f t="shared" si="23"/>
        <v>0</v>
      </c>
      <c r="G712" s="339"/>
    </row>
    <row r="713" spans="1:7" s="278" customFormat="1">
      <c r="A713" s="336"/>
      <c r="B713" s="423" t="s">
        <v>2153</v>
      </c>
      <c r="C713" s="285" t="s">
        <v>26</v>
      </c>
      <c r="D713" s="318">
        <f>20.1+20.7</f>
        <v>40.799999999999997</v>
      </c>
      <c r="E713" s="45"/>
      <c r="F713" s="338">
        <f t="shared" si="23"/>
        <v>0</v>
      </c>
      <c r="G713" s="339"/>
    </row>
    <row r="714" spans="1:7" s="278" customFormat="1">
      <c r="A714" s="336"/>
      <c r="B714" s="423" t="s">
        <v>2154</v>
      </c>
      <c r="C714" s="285" t="s">
        <v>26</v>
      </c>
      <c r="D714" s="318">
        <f>20.1+14.9</f>
        <v>35</v>
      </c>
      <c r="E714" s="45"/>
      <c r="F714" s="338">
        <f t="shared" si="23"/>
        <v>0</v>
      </c>
      <c r="G714" s="339"/>
    </row>
    <row r="715" spans="1:7" s="278" customFormat="1">
      <c r="A715" s="336"/>
      <c r="B715" s="423" t="s">
        <v>2155</v>
      </c>
      <c r="C715" s="285" t="s">
        <v>26</v>
      </c>
      <c r="D715" s="318">
        <f>14.1+14.3</f>
        <v>28.4</v>
      </c>
      <c r="E715" s="45"/>
      <c r="F715" s="338">
        <f t="shared" si="23"/>
        <v>0</v>
      </c>
      <c r="G715" s="339"/>
    </row>
    <row r="716" spans="1:7" s="278" customFormat="1">
      <c r="A716" s="336"/>
      <c r="B716" s="423" t="s">
        <v>2156</v>
      </c>
      <c r="C716" s="285" t="s">
        <v>26</v>
      </c>
      <c r="D716" s="318">
        <v>36</v>
      </c>
      <c r="E716" s="45"/>
      <c r="F716" s="338">
        <f t="shared" si="23"/>
        <v>0</v>
      </c>
      <c r="G716" s="339"/>
    </row>
    <row r="717" spans="1:7" s="278" customFormat="1">
      <c r="A717" s="336"/>
      <c r="B717" s="423" t="s">
        <v>2157</v>
      </c>
      <c r="C717" s="285" t="s">
        <v>26</v>
      </c>
      <c r="D717" s="318">
        <v>36</v>
      </c>
      <c r="E717" s="45"/>
      <c r="F717" s="338">
        <f t="shared" si="23"/>
        <v>0</v>
      </c>
      <c r="G717" s="339"/>
    </row>
    <row r="718" spans="1:7" s="278" customFormat="1">
      <c r="A718" s="336"/>
      <c r="B718" s="423" t="s">
        <v>2158</v>
      </c>
      <c r="C718" s="285" t="s">
        <v>26</v>
      </c>
      <c r="D718" s="318">
        <v>40.200000000000003</v>
      </c>
      <c r="E718" s="45"/>
      <c r="F718" s="338">
        <f t="shared" si="23"/>
        <v>0</v>
      </c>
      <c r="G718" s="339"/>
    </row>
    <row r="719" spans="1:7" s="278" customFormat="1">
      <c r="A719" s="336"/>
      <c r="B719" s="423" t="s">
        <v>2159</v>
      </c>
      <c r="C719" s="285" t="s">
        <v>26</v>
      </c>
      <c r="D719" s="318">
        <v>30.5</v>
      </c>
      <c r="E719" s="45"/>
      <c r="F719" s="338">
        <f t="shared" si="23"/>
        <v>0</v>
      </c>
      <c r="G719" s="339"/>
    </row>
    <row r="720" spans="1:7" s="278" customFormat="1">
      <c r="A720" s="336"/>
      <c r="B720" s="423" t="s">
        <v>2160</v>
      </c>
      <c r="C720" s="285" t="s">
        <v>26</v>
      </c>
      <c r="D720" s="318">
        <v>10.8</v>
      </c>
      <c r="E720" s="45"/>
      <c r="F720" s="338">
        <f t="shared" si="23"/>
        <v>0</v>
      </c>
      <c r="G720" s="339"/>
    </row>
    <row r="721" spans="1:7" s="278" customFormat="1">
      <c r="A721" s="336"/>
      <c r="B721" s="423" t="s">
        <v>2161</v>
      </c>
      <c r="C721" s="285" t="s">
        <v>26</v>
      </c>
      <c r="D721" s="318">
        <v>9.9</v>
      </c>
      <c r="E721" s="45"/>
      <c r="F721" s="338">
        <f t="shared" si="23"/>
        <v>0</v>
      </c>
      <c r="G721" s="339"/>
    </row>
    <row r="722" spans="1:7" s="278" customFormat="1">
      <c r="A722" s="336"/>
      <c r="B722" s="423" t="s">
        <v>2162</v>
      </c>
      <c r="C722" s="285" t="s">
        <v>26</v>
      </c>
      <c r="D722" s="318">
        <v>9.9</v>
      </c>
      <c r="E722" s="45"/>
      <c r="F722" s="338">
        <f t="shared" si="23"/>
        <v>0</v>
      </c>
      <c r="G722" s="339"/>
    </row>
    <row r="723" spans="1:7" s="278" customFormat="1">
      <c r="A723" s="336"/>
      <c r="B723" s="423" t="s">
        <v>2163</v>
      </c>
      <c r="C723" s="285" t="s">
        <v>26</v>
      </c>
      <c r="D723" s="318">
        <v>30.5</v>
      </c>
      <c r="E723" s="45"/>
      <c r="F723" s="338">
        <f t="shared" si="23"/>
        <v>0</v>
      </c>
      <c r="G723" s="339"/>
    </row>
    <row r="724" spans="1:7" s="278" customFormat="1">
      <c r="A724" s="336"/>
      <c r="B724" s="423" t="s">
        <v>2164</v>
      </c>
      <c r="C724" s="285" t="s">
        <v>26</v>
      </c>
      <c r="D724" s="318">
        <v>30.5</v>
      </c>
      <c r="E724" s="45"/>
      <c r="F724" s="338">
        <f t="shared" si="23"/>
        <v>0</v>
      </c>
      <c r="G724" s="339"/>
    </row>
    <row r="725" spans="1:7" s="278" customFormat="1">
      <c r="A725" s="336"/>
      <c r="B725" s="423" t="s">
        <v>2165</v>
      </c>
      <c r="C725" s="285" t="s">
        <v>26</v>
      </c>
      <c r="D725" s="318">
        <f>41.2+40.9</f>
        <v>82.1</v>
      </c>
      <c r="E725" s="45"/>
      <c r="F725" s="338">
        <f t="shared" si="23"/>
        <v>0</v>
      </c>
      <c r="G725" s="339"/>
    </row>
    <row r="726" spans="1:7" s="278" customFormat="1">
      <c r="A726" s="336"/>
      <c r="B726" s="423" t="s">
        <v>2166</v>
      </c>
      <c r="C726" s="285" t="s">
        <v>26</v>
      </c>
      <c r="D726" s="318">
        <f>11.6+11.7</f>
        <v>23.3</v>
      </c>
      <c r="E726" s="45"/>
      <c r="F726" s="338">
        <f t="shared" si="23"/>
        <v>0</v>
      </c>
      <c r="G726" s="339"/>
    </row>
    <row r="727" spans="1:7" s="278" customFormat="1">
      <c r="A727" s="336"/>
      <c r="B727" s="423" t="s">
        <v>2167</v>
      </c>
      <c r="C727" s="285" t="s">
        <v>26</v>
      </c>
      <c r="D727" s="318">
        <f>39.7+39.1</f>
        <v>78.8</v>
      </c>
      <c r="E727" s="45"/>
      <c r="F727" s="338">
        <f t="shared" si="23"/>
        <v>0</v>
      </c>
      <c r="G727" s="339"/>
    </row>
    <row r="728" spans="1:7" s="278" customFormat="1">
      <c r="A728" s="336"/>
      <c r="B728" s="423" t="s">
        <v>2168</v>
      </c>
      <c r="C728" s="285" t="s">
        <v>26</v>
      </c>
      <c r="D728" s="318">
        <f>11.4+11.4</f>
        <v>22.8</v>
      </c>
      <c r="E728" s="45"/>
      <c r="F728" s="338">
        <f t="shared" si="23"/>
        <v>0</v>
      </c>
      <c r="G728" s="339"/>
    </row>
    <row r="729" spans="1:7" s="278" customFormat="1">
      <c r="A729" s="336"/>
      <c r="B729" s="423" t="s">
        <v>2169</v>
      </c>
      <c r="C729" s="285" t="s">
        <v>26</v>
      </c>
      <c r="D729" s="318">
        <f>38.5+32.6</f>
        <v>71.099999999999994</v>
      </c>
      <c r="E729" s="45"/>
      <c r="F729" s="338">
        <f t="shared" si="23"/>
        <v>0</v>
      </c>
      <c r="G729" s="339"/>
    </row>
    <row r="730" spans="1:7" s="278" customFormat="1">
      <c r="A730" s="336"/>
      <c r="B730" s="423" t="s">
        <v>2170</v>
      </c>
      <c r="C730" s="285" t="s">
        <v>26</v>
      </c>
      <c r="D730" s="318">
        <f>10.9+9.4</f>
        <v>20.3</v>
      </c>
      <c r="E730" s="45"/>
      <c r="F730" s="338">
        <f t="shared" si="23"/>
        <v>0</v>
      </c>
      <c r="G730" s="339"/>
    </row>
    <row r="731" spans="1:7" s="278" customFormat="1">
      <c r="A731" s="336"/>
      <c r="B731" s="423" t="s">
        <v>2171</v>
      </c>
      <c r="C731" s="285" t="s">
        <v>26</v>
      </c>
      <c r="D731" s="318">
        <v>33.799999999999997</v>
      </c>
      <c r="E731" s="45"/>
      <c r="F731" s="338">
        <f t="shared" si="23"/>
        <v>0</v>
      </c>
      <c r="G731" s="339"/>
    </row>
    <row r="732" spans="1:7" s="278" customFormat="1">
      <c r="A732" s="336"/>
      <c r="B732" s="423" t="s">
        <v>2172</v>
      </c>
      <c r="C732" s="285" t="s">
        <v>26</v>
      </c>
      <c r="D732" s="318">
        <v>3.3</v>
      </c>
      <c r="E732" s="45"/>
      <c r="F732" s="338">
        <f t="shared" si="23"/>
        <v>0</v>
      </c>
      <c r="G732" s="339"/>
    </row>
    <row r="733" spans="1:7" s="278" customFormat="1">
      <c r="A733" s="336"/>
      <c r="B733" s="423" t="s">
        <v>2173</v>
      </c>
      <c r="C733" s="285" t="s">
        <v>26</v>
      </c>
      <c r="D733" s="318">
        <v>10.7</v>
      </c>
      <c r="E733" s="45"/>
      <c r="F733" s="338">
        <f t="shared" si="23"/>
        <v>0</v>
      </c>
      <c r="G733" s="339"/>
    </row>
    <row r="734" spans="1:7" s="278" customFormat="1">
      <c r="A734" s="336"/>
      <c r="B734" s="423" t="s">
        <v>2174</v>
      </c>
      <c r="C734" s="285" t="s">
        <v>26</v>
      </c>
      <c r="D734" s="318">
        <v>34.200000000000003</v>
      </c>
      <c r="E734" s="45"/>
      <c r="F734" s="338">
        <f t="shared" si="23"/>
        <v>0</v>
      </c>
      <c r="G734" s="339"/>
    </row>
    <row r="735" spans="1:7" s="278" customFormat="1">
      <c r="A735" s="336"/>
      <c r="B735" s="423" t="s">
        <v>2175</v>
      </c>
      <c r="C735" s="285" t="s">
        <v>26</v>
      </c>
      <c r="D735" s="318">
        <v>8.9</v>
      </c>
      <c r="E735" s="45"/>
      <c r="F735" s="338">
        <f t="shared" si="23"/>
        <v>0</v>
      </c>
      <c r="G735" s="339"/>
    </row>
    <row r="736" spans="1:7" s="278" customFormat="1">
      <c r="A736" s="336"/>
      <c r="B736" s="423" t="s">
        <v>2181</v>
      </c>
      <c r="C736" s="285" t="s">
        <v>26</v>
      </c>
      <c r="D736" s="318">
        <v>3.2</v>
      </c>
      <c r="E736" s="45"/>
      <c r="F736" s="338">
        <f t="shared" si="23"/>
        <v>0</v>
      </c>
      <c r="G736" s="339"/>
    </row>
    <row r="737" spans="1:7" s="278" customFormat="1">
      <c r="A737" s="336"/>
      <c r="B737" s="423" t="s">
        <v>2182</v>
      </c>
      <c r="C737" s="285" t="s">
        <v>26</v>
      </c>
      <c r="D737" s="318">
        <v>3.2</v>
      </c>
      <c r="E737" s="45"/>
      <c r="F737" s="338">
        <f t="shared" si="23"/>
        <v>0</v>
      </c>
      <c r="G737" s="339"/>
    </row>
    <row r="738" spans="1:7" s="278" customFormat="1">
      <c r="A738" s="336"/>
      <c r="B738" s="423" t="s">
        <v>2176</v>
      </c>
      <c r="C738" s="285" t="s">
        <v>26</v>
      </c>
      <c r="D738" s="318">
        <v>56.4</v>
      </c>
      <c r="E738" s="45"/>
      <c r="F738" s="338">
        <f t="shared" si="23"/>
        <v>0</v>
      </c>
      <c r="G738" s="339"/>
    </row>
    <row r="739" spans="1:7" s="278" customFormat="1">
      <c r="A739" s="336"/>
      <c r="B739" s="423" t="s">
        <v>2177</v>
      </c>
      <c r="C739" s="285" t="s">
        <v>26</v>
      </c>
      <c r="D739" s="318">
        <v>59.2</v>
      </c>
      <c r="E739" s="45"/>
      <c r="F739" s="338">
        <f t="shared" si="23"/>
        <v>0</v>
      </c>
      <c r="G739" s="339"/>
    </row>
    <row r="740" spans="1:7" s="278" customFormat="1">
      <c r="A740" s="336"/>
      <c r="B740" s="423" t="s">
        <v>2178</v>
      </c>
      <c r="C740" s="285" t="s">
        <v>26</v>
      </c>
      <c r="D740" s="318">
        <v>15.8</v>
      </c>
      <c r="E740" s="45"/>
      <c r="F740" s="338">
        <f t="shared" si="23"/>
        <v>0</v>
      </c>
      <c r="G740" s="339"/>
    </row>
    <row r="741" spans="1:7" s="278" customFormat="1">
      <c r="A741" s="336"/>
      <c r="B741" s="423" t="s">
        <v>2179</v>
      </c>
      <c r="C741" s="285" t="s">
        <v>26</v>
      </c>
      <c r="D741" s="318">
        <v>25.5</v>
      </c>
      <c r="E741" s="45"/>
      <c r="F741" s="338">
        <f t="shared" si="23"/>
        <v>0</v>
      </c>
      <c r="G741" s="339"/>
    </row>
    <row r="742" spans="1:7" s="278" customFormat="1">
      <c r="A742" s="336"/>
      <c r="B742" s="423" t="s">
        <v>2180</v>
      </c>
      <c r="C742" s="285" t="s">
        <v>26</v>
      </c>
      <c r="D742" s="318">
        <v>13.4</v>
      </c>
      <c r="E742" s="45"/>
      <c r="F742" s="338">
        <f t="shared" si="23"/>
        <v>0</v>
      </c>
      <c r="G742" s="339"/>
    </row>
    <row r="743" spans="1:7" s="278" customFormat="1">
      <c r="A743" s="336"/>
      <c r="B743" s="423"/>
      <c r="C743" s="285"/>
      <c r="D743" s="318"/>
      <c r="E743" s="45"/>
      <c r="F743" s="338"/>
      <c r="G743" s="339"/>
    </row>
    <row r="744" spans="1:7" s="278" customFormat="1">
      <c r="A744" s="419">
        <f>IF(B744&gt;0,MAX(A673:A698)+1,"")</f>
        <v>40</v>
      </c>
      <c r="B744" s="386" t="s">
        <v>1289</v>
      </c>
      <c r="C744" s="285"/>
      <c r="D744" s="318"/>
      <c r="E744" s="45"/>
      <c r="F744" s="338">
        <f t="shared" si="20"/>
        <v>0</v>
      </c>
      <c r="G744" s="339"/>
    </row>
    <row r="745" spans="1:7" s="278" customFormat="1" ht="165.75">
      <c r="A745" s="336"/>
      <c r="B745" s="337" t="s">
        <v>1290</v>
      </c>
      <c r="C745" s="285"/>
      <c r="D745" s="318"/>
      <c r="E745" s="45"/>
      <c r="F745" s="338">
        <f t="shared" si="20"/>
        <v>0</v>
      </c>
      <c r="G745" s="339"/>
    </row>
    <row r="746" spans="1:7" s="278" customFormat="1" ht="25.5">
      <c r="A746" s="336"/>
      <c r="B746" s="337" t="s">
        <v>1293</v>
      </c>
      <c r="C746" s="285"/>
      <c r="D746" s="318"/>
      <c r="E746" s="45"/>
      <c r="F746" s="338">
        <f t="shared" si="20"/>
        <v>0</v>
      </c>
      <c r="G746" s="339"/>
    </row>
    <row r="747" spans="1:7" s="278" customFormat="1">
      <c r="A747" s="336"/>
      <c r="B747" s="337" t="s">
        <v>1291</v>
      </c>
      <c r="C747" s="285" t="s">
        <v>27</v>
      </c>
      <c r="D747" s="318">
        <v>168</v>
      </c>
      <c r="E747" s="45"/>
      <c r="F747" s="338">
        <f t="shared" si="20"/>
        <v>0</v>
      </c>
      <c r="G747" s="339"/>
    </row>
    <row r="748" spans="1:7" s="278" customFormat="1">
      <c r="A748" s="336"/>
      <c r="B748" s="337" t="s">
        <v>1292</v>
      </c>
      <c r="C748" s="285" t="s">
        <v>26</v>
      </c>
      <c r="D748" s="318">
        <v>30</v>
      </c>
      <c r="E748" s="45"/>
      <c r="F748" s="338">
        <f t="shared" si="20"/>
        <v>0</v>
      </c>
      <c r="G748" s="339"/>
    </row>
    <row r="749" spans="1:7" s="278" customFormat="1">
      <c r="A749" s="336"/>
      <c r="B749" s="337"/>
      <c r="C749" s="285"/>
      <c r="D749" s="318"/>
      <c r="E749" s="45"/>
      <c r="F749" s="338">
        <f t="shared" si="20"/>
        <v>0</v>
      </c>
      <c r="G749" s="339"/>
    </row>
    <row r="750" spans="1:7" s="278" customFormat="1">
      <c r="A750" s="419">
        <f>IF(B750&gt;0,MAX(A679:A749)+1,"")</f>
        <v>41</v>
      </c>
      <c r="B750" s="386" t="s">
        <v>1294</v>
      </c>
      <c r="C750" s="285"/>
      <c r="D750" s="318"/>
      <c r="E750" s="45"/>
      <c r="F750" s="338">
        <f t="shared" si="20"/>
        <v>0</v>
      </c>
      <c r="G750" s="339"/>
    </row>
    <row r="751" spans="1:7" s="278" customFormat="1" ht="102">
      <c r="A751" s="336"/>
      <c r="B751" s="337" t="s">
        <v>1295</v>
      </c>
      <c r="C751" s="285"/>
      <c r="D751" s="318"/>
      <c r="E751" s="45"/>
      <c r="F751" s="338">
        <f t="shared" si="20"/>
        <v>0</v>
      </c>
      <c r="G751" s="339"/>
    </row>
    <row r="752" spans="1:7" s="278" customFormat="1">
      <c r="A752" s="336"/>
      <c r="B752" s="337" t="s">
        <v>2138</v>
      </c>
      <c r="C752" s="285"/>
      <c r="D752" s="318"/>
      <c r="E752" s="45"/>
      <c r="F752" s="338"/>
      <c r="G752" s="339"/>
    </row>
    <row r="753" spans="1:7" s="278" customFormat="1">
      <c r="A753" s="336"/>
      <c r="B753" s="337" t="s">
        <v>1296</v>
      </c>
      <c r="C753" s="285" t="s">
        <v>27</v>
      </c>
      <c r="D753" s="318">
        <f>335+50</f>
        <v>385</v>
      </c>
      <c r="E753" s="45"/>
      <c r="F753" s="338">
        <f t="shared" si="20"/>
        <v>0</v>
      </c>
      <c r="G753" s="339"/>
    </row>
    <row r="754" spans="1:7" s="278" customFormat="1">
      <c r="A754" s="336"/>
      <c r="B754" s="337"/>
      <c r="C754" s="285"/>
      <c r="D754" s="318"/>
      <c r="E754" s="45"/>
      <c r="F754" s="338">
        <f t="shared" si="20"/>
        <v>0</v>
      </c>
      <c r="G754" s="339"/>
    </row>
    <row r="755" spans="1:7" s="278" customFormat="1">
      <c r="A755" s="419">
        <f>IF(B755&gt;0,MAX(A683:A754)+1,"")</f>
        <v>42</v>
      </c>
      <c r="B755" s="444" t="s">
        <v>1297</v>
      </c>
      <c r="C755" s="285"/>
      <c r="D755" s="318"/>
      <c r="E755" s="45"/>
      <c r="F755" s="338">
        <f t="shared" si="20"/>
        <v>0</v>
      </c>
      <c r="G755" s="339"/>
    </row>
    <row r="756" spans="1:7" s="278" customFormat="1" ht="191.25">
      <c r="A756" s="336"/>
      <c r="B756" s="337" t="s">
        <v>1299</v>
      </c>
      <c r="C756" s="285"/>
      <c r="D756" s="318"/>
      <c r="E756" s="45"/>
      <c r="F756" s="338">
        <f t="shared" ref="F756:F827" si="24">D756*E756</f>
        <v>0</v>
      </c>
      <c r="G756" s="339"/>
    </row>
    <row r="757" spans="1:7" s="278" customFormat="1">
      <c r="A757" s="336"/>
      <c r="B757" s="337" t="s">
        <v>2138</v>
      </c>
      <c r="C757" s="285"/>
      <c r="D757" s="318"/>
      <c r="E757" s="45"/>
      <c r="F757" s="338"/>
      <c r="G757" s="339"/>
    </row>
    <row r="758" spans="1:7" s="278" customFormat="1">
      <c r="A758" s="336"/>
      <c r="B758" s="337" t="s">
        <v>1298</v>
      </c>
      <c r="C758" s="285" t="s">
        <v>27</v>
      </c>
      <c r="D758" s="318">
        <f>240+50</f>
        <v>290</v>
      </c>
      <c r="E758" s="45"/>
      <c r="F758" s="338">
        <f t="shared" si="24"/>
        <v>0</v>
      </c>
      <c r="G758" s="339"/>
    </row>
    <row r="759" spans="1:7" s="278" customFormat="1">
      <c r="A759" s="336"/>
      <c r="B759" s="423"/>
      <c r="C759" s="285"/>
      <c r="D759" s="318"/>
      <c r="E759" s="45"/>
      <c r="F759" s="338">
        <f t="shared" si="24"/>
        <v>0</v>
      </c>
      <c r="G759" s="339"/>
    </row>
    <row r="760" spans="1:7" s="278" customFormat="1">
      <c r="A760" s="419">
        <f>IF(B760&gt;0,MAX(A687:A759)+1,"")</f>
        <v>43</v>
      </c>
      <c r="B760" s="444" t="s">
        <v>1301</v>
      </c>
      <c r="C760" s="285"/>
      <c r="D760" s="318"/>
      <c r="E760" s="45"/>
      <c r="F760" s="338">
        <f t="shared" si="24"/>
        <v>0</v>
      </c>
      <c r="G760" s="339"/>
    </row>
    <row r="761" spans="1:7" s="278" customFormat="1" ht="127.5">
      <c r="A761" s="336"/>
      <c r="B761" s="337" t="s">
        <v>1300</v>
      </c>
      <c r="C761" s="285"/>
      <c r="D761" s="318"/>
      <c r="E761" s="45"/>
      <c r="F761" s="338">
        <f t="shared" si="24"/>
        <v>0</v>
      </c>
      <c r="G761" s="339"/>
    </row>
    <row r="762" spans="1:7" s="278" customFormat="1" ht="114.75">
      <c r="A762" s="336"/>
      <c r="B762" s="337" t="s">
        <v>1302</v>
      </c>
      <c r="C762" s="285"/>
      <c r="D762" s="318"/>
      <c r="E762" s="45"/>
      <c r="F762" s="338">
        <f t="shared" si="24"/>
        <v>0</v>
      </c>
      <c r="G762" s="339"/>
    </row>
    <row r="763" spans="1:7" s="278" customFormat="1" ht="25.5">
      <c r="A763" s="336"/>
      <c r="B763" s="337" t="s">
        <v>2139</v>
      </c>
      <c r="C763" s="285"/>
      <c r="D763" s="318"/>
      <c r="E763" s="45"/>
      <c r="F763" s="338">
        <f t="shared" si="24"/>
        <v>0</v>
      </c>
      <c r="G763" s="339"/>
    </row>
    <row r="764" spans="1:7" s="278" customFormat="1">
      <c r="A764" s="336"/>
      <c r="B764" s="423" t="s">
        <v>2142</v>
      </c>
      <c r="C764" s="285" t="s">
        <v>26</v>
      </c>
      <c r="D764" s="318">
        <v>7.4</v>
      </c>
      <c r="E764" s="45"/>
      <c r="F764" s="338">
        <f>D764*E764</f>
        <v>0</v>
      </c>
      <c r="G764" s="339"/>
    </row>
    <row r="765" spans="1:7" s="278" customFormat="1">
      <c r="A765" s="336"/>
      <c r="B765" s="423" t="s">
        <v>2143</v>
      </c>
      <c r="C765" s="285" t="s">
        <v>26</v>
      </c>
      <c r="D765" s="318">
        <v>8.1999999999999993</v>
      </c>
      <c r="E765" s="45"/>
      <c r="F765" s="338">
        <f t="shared" ref="F765:F803" si="25">D765*E765</f>
        <v>0</v>
      </c>
      <c r="G765" s="339"/>
    </row>
    <row r="766" spans="1:7" s="278" customFormat="1">
      <c r="A766" s="336"/>
      <c r="B766" s="423" t="s">
        <v>2144</v>
      </c>
      <c r="C766" s="285" t="s">
        <v>26</v>
      </c>
      <c r="D766" s="318">
        <v>1.8</v>
      </c>
      <c r="E766" s="45"/>
      <c r="F766" s="338">
        <f t="shared" si="25"/>
        <v>0</v>
      </c>
      <c r="G766" s="339"/>
    </row>
    <row r="767" spans="1:7" s="278" customFormat="1">
      <c r="A767" s="336"/>
      <c r="B767" s="423" t="s">
        <v>2145</v>
      </c>
      <c r="C767" s="285" t="s">
        <v>26</v>
      </c>
      <c r="D767" s="318">
        <v>1.6</v>
      </c>
      <c r="E767" s="45"/>
      <c r="F767" s="338">
        <f t="shared" si="25"/>
        <v>0</v>
      </c>
      <c r="G767" s="339"/>
    </row>
    <row r="768" spans="1:7" s="278" customFormat="1">
      <c r="A768" s="336"/>
      <c r="B768" s="423" t="s">
        <v>2146</v>
      </c>
      <c r="C768" s="285" t="s">
        <v>26</v>
      </c>
      <c r="D768" s="318">
        <v>2.8</v>
      </c>
      <c r="E768" s="45"/>
      <c r="F768" s="338">
        <f t="shared" si="25"/>
        <v>0</v>
      </c>
      <c r="G768" s="339"/>
    </row>
    <row r="769" spans="1:7" s="278" customFormat="1">
      <c r="A769" s="336"/>
      <c r="B769" s="423" t="s">
        <v>2147</v>
      </c>
      <c r="C769" s="285" t="s">
        <v>26</v>
      </c>
      <c r="D769" s="318">
        <v>5.7</v>
      </c>
      <c r="E769" s="45"/>
      <c r="F769" s="338">
        <f t="shared" si="25"/>
        <v>0</v>
      </c>
      <c r="G769" s="339"/>
    </row>
    <row r="770" spans="1:7" s="278" customFormat="1">
      <c r="A770" s="336"/>
      <c r="B770" s="423" t="s">
        <v>2148</v>
      </c>
      <c r="C770" s="285" t="s">
        <v>26</v>
      </c>
      <c r="D770" s="318">
        <v>1.6</v>
      </c>
      <c r="E770" s="45"/>
      <c r="F770" s="338">
        <f t="shared" si="25"/>
        <v>0</v>
      </c>
      <c r="G770" s="339"/>
    </row>
    <row r="771" spans="1:7" s="278" customFormat="1">
      <c r="A771" s="336"/>
      <c r="B771" s="423" t="s">
        <v>2149</v>
      </c>
      <c r="C771" s="285" t="s">
        <v>26</v>
      </c>
      <c r="D771" s="318">
        <v>2</v>
      </c>
      <c r="E771" s="45"/>
      <c r="F771" s="338">
        <f t="shared" si="25"/>
        <v>0</v>
      </c>
      <c r="G771" s="339"/>
    </row>
    <row r="772" spans="1:7" s="278" customFormat="1">
      <c r="A772" s="336"/>
      <c r="B772" s="423" t="s">
        <v>2150</v>
      </c>
      <c r="C772" s="285" t="s">
        <v>26</v>
      </c>
      <c r="D772" s="318">
        <v>8.1</v>
      </c>
      <c r="E772" s="45"/>
      <c r="F772" s="338">
        <f t="shared" si="25"/>
        <v>0</v>
      </c>
      <c r="G772" s="339"/>
    </row>
    <row r="773" spans="1:7" s="278" customFormat="1">
      <c r="A773" s="336"/>
      <c r="B773" s="423" t="s">
        <v>2151</v>
      </c>
      <c r="C773" s="285" t="s">
        <v>26</v>
      </c>
      <c r="D773" s="318">
        <v>8.1999999999999993</v>
      </c>
      <c r="E773" s="45"/>
      <c r="F773" s="338">
        <f t="shared" si="25"/>
        <v>0</v>
      </c>
      <c r="G773" s="339"/>
    </row>
    <row r="774" spans="1:7" s="278" customFormat="1">
      <c r="A774" s="336"/>
      <c r="B774" s="423" t="s">
        <v>2152</v>
      </c>
      <c r="C774" s="285" t="s">
        <v>26</v>
      </c>
      <c r="D774" s="318">
        <v>8.1999999999999993</v>
      </c>
      <c r="E774" s="45"/>
      <c r="F774" s="338">
        <f t="shared" si="25"/>
        <v>0</v>
      </c>
      <c r="G774" s="339"/>
    </row>
    <row r="775" spans="1:7" s="278" customFormat="1">
      <c r="A775" s="336"/>
      <c r="B775" s="423" t="s">
        <v>2153</v>
      </c>
      <c r="C775" s="285" t="s">
        <v>26</v>
      </c>
      <c r="D775" s="318">
        <v>8.1999999999999993</v>
      </c>
      <c r="E775" s="45"/>
      <c r="F775" s="338">
        <f t="shared" si="25"/>
        <v>0</v>
      </c>
      <c r="G775" s="339"/>
    </row>
    <row r="776" spans="1:7" s="278" customFormat="1">
      <c r="A776" s="336"/>
      <c r="B776" s="423" t="s">
        <v>2154</v>
      </c>
      <c r="C776" s="285" t="s">
        <v>26</v>
      </c>
      <c r="D776" s="318">
        <v>7</v>
      </c>
      <c r="E776" s="45"/>
      <c r="F776" s="338">
        <f t="shared" si="25"/>
        <v>0</v>
      </c>
      <c r="G776" s="339"/>
    </row>
    <row r="777" spans="1:7" s="278" customFormat="1">
      <c r="A777" s="336"/>
      <c r="B777" s="423" t="s">
        <v>2155</v>
      </c>
      <c r="C777" s="285" t="s">
        <v>26</v>
      </c>
      <c r="D777" s="318">
        <v>5.7</v>
      </c>
      <c r="E777" s="45"/>
      <c r="F777" s="338">
        <f t="shared" si="25"/>
        <v>0</v>
      </c>
      <c r="G777" s="339"/>
    </row>
    <row r="778" spans="1:7" s="278" customFormat="1">
      <c r="A778" s="336"/>
      <c r="B778" s="423" t="s">
        <v>2156</v>
      </c>
      <c r="C778" s="285" t="s">
        <v>26</v>
      </c>
      <c r="D778" s="318">
        <v>7.2</v>
      </c>
      <c r="E778" s="45"/>
      <c r="F778" s="338">
        <f t="shared" si="25"/>
        <v>0</v>
      </c>
      <c r="G778" s="339"/>
    </row>
    <row r="779" spans="1:7" s="278" customFormat="1">
      <c r="A779" s="336"/>
      <c r="B779" s="423" t="s">
        <v>2157</v>
      </c>
      <c r="C779" s="285" t="s">
        <v>26</v>
      </c>
      <c r="D779" s="318">
        <v>7.2</v>
      </c>
      <c r="E779" s="45"/>
      <c r="F779" s="338">
        <f t="shared" si="25"/>
        <v>0</v>
      </c>
      <c r="G779" s="339"/>
    </row>
    <row r="780" spans="1:7" s="278" customFormat="1">
      <c r="A780" s="336"/>
      <c r="B780" s="423" t="s">
        <v>2158</v>
      </c>
      <c r="C780" s="285" t="s">
        <v>26</v>
      </c>
      <c r="D780" s="318">
        <v>8.1</v>
      </c>
      <c r="E780" s="45"/>
      <c r="F780" s="338">
        <f t="shared" si="25"/>
        <v>0</v>
      </c>
      <c r="G780" s="339"/>
    </row>
    <row r="781" spans="1:7" s="278" customFormat="1">
      <c r="A781" s="336"/>
      <c r="B781" s="423" t="s">
        <v>2159</v>
      </c>
      <c r="C781" s="285" t="s">
        <v>26</v>
      </c>
      <c r="D781" s="318">
        <v>6.1</v>
      </c>
      <c r="E781" s="45"/>
      <c r="F781" s="338">
        <f t="shared" si="25"/>
        <v>0</v>
      </c>
      <c r="G781" s="339"/>
    </row>
    <row r="782" spans="1:7" s="278" customFormat="1">
      <c r="A782" s="336"/>
      <c r="B782" s="423" t="s">
        <v>2160</v>
      </c>
      <c r="C782" s="285" t="s">
        <v>26</v>
      </c>
      <c r="D782" s="318">
        <v>2.2000000000000002</v>
      </c>
      <c r="E782" s="45"/>
      <c r="F782" s="338">
        <f t="shared" si="25"/>
        <v>0</v>
      </c>
      <c r="G782" s="339"/>
    </row>
    <row r="783" spans="1:7" s="278" customFormat="1">
      <c r="A783" s="336"/>
      <c r="B783" s="423" t="s">
        <v>2161</v>
      </c>
      <c r="C783" s="285" t="s">
        <v>26</v>
      </c>
      <c r="D783" s="318">
        <v>2</v>
      </c>
      <c r="E783" s="45"/>
      <c r="F783" s="338">
        <f t="shared" si="25"/>
        <v>0</v>
      </c>
      <c r="G783" s="339"/>
    </row>
    <row r="784" spans="1:7" s="278" customFormat="1">
      <c r="A784" s="336"/>
      <c r="B784" s="423" t="s">
        <v>2162</v>
      </c>
      <c r="C784" s="285" t="s">
        <v>26</v>
      </c>
      <c r="D784" s="318">
        <v>2</v>
      </c>
      <c r="E784" s="45"/>
      <c r="F784" s="338">
        <f t="shared" si="25"/>
        <v>0</v>
      </c>
      <c r="G784" s="339"/>
    </row>
    <row r="785" spans="1:7" s="278" customFormat="1">
      <c r="A785" s="336"/>
      <c r="B785" s="423" t="s">
        <v>2163</v>
      </c>
      <c r="C785" s="285" t="s">
        <v>26</v>
      </c>
      <c r="D785" s="318">
        <v>6.1</v>
      </c>
      <c r="E785" s="45"/>
      <c r="F785" s="338">
        <f t="shared" si="25"/>
        <v>0</v>
      </c>
      <c r="G785" s="339"/>
    </row>
    <row r="786" spans="1:7" s="278" customFormat="1">
      <c r="A786" s="336"/>
      <c r="B786" s="423" t="s">
        <v>2164</v>
      </c>
      <c r="C786" s="285" t="s">
        <v>26</v>
      </c>
      <c r="D786" s="318">
        <v>6.1</v>
      </c>
      <c r="E786" s="45"/>
      <c r="F786" s="338">
        <f t="shared" si="25"/>
        <v>0</v>
      </c>
      <c r="G786" s="339"/>
    </row>
    <row r="787" spans="1:7" s="278" customFormat="1">
      <c r="A787" s="336"/>
      <c r="B787" s="423" t="s">
        <v>2165</v>
      </c>
      <c r="C787" s="285" t="s">
        <v>26</v>
      </c>
      <c r="D787" s="318">
        <v>16.5</v>
      </c>
      <c r="E787" s="45"/>
      <c r="F787" s="338">
        <f t="shared" si="25"/>
        <v>0</v>
      </c>
      <c r="G787" s="339"/>
    </row>
    <row r="788" spans="1:7" s="278" customFormat="1">
      <c r="A788" s="336"/>
      <c r="B788" s="423" t="s">
        <v>2166</v>
      </c>
      <c r="C788" s="285" t="s">
        <v>26</v>
      </c>
      <c r="D788" s="318">
        <v>4.66</v>
      </c>
      <c r="E788" s="45"/>
      <c r="F788" s="338">
        <f t="shared" si="25"/>
        <v>0</v>
      </c>
      <c r="G788" s="339"/>
    </row>
    <row r="789" spans="1:7" s="278" customFormat="1">
      <c r="A789" s="336"/>
      <c r="B789" s="423" t="s">
        <v>2167</v>
      </c>
      <c r="C789" s="285" t="s">
        <v>26</v>
      </c>
      <c r="D789" s="318">
        <v>15.8</v>
      </c>
      <c r="E789" s="45"/>
      <c r="F789" s="338">
        <f t="shared" si="25"/>
        <v>0</v>
      </c>
      <c r="G789" s="339"/>
    </row>
    <row r="790" spans="1:7" s="278" customFormat="1">
      <c r="A790" s="336"/>
      <c r="B790" s="423" t="s">
        <v>2168</v>
      </c>
      <c r="C790" s="285" t="s">
        <v>26</v>
      </c>
      <c r="D790" s="318">
        <v>4.5999999999999996</v>
      </c>
      <c r="E790" s="45"/>
      <c r="F790" s="338">
        <f t="shared" si="25"/>
        <v>0</v>
      </c>
      <c r="G790" s="339"/>
    </row>
    <row r="791" spans="1:7" s="278" customFormat="1">
      <c r="A791" s="336"/>
      <c r="B791" s="423" t="s">
        <v>2169</v>
      </c>
      <c r="C791" s="285" t="s">
        <v>26</v>
      </c>
      <c r="D791" s="318">
        <v>14.3</v>
      </c>
      <c r="E791" s="45"/>
      <c r="F791" s="338">
        <f t="shared" si="25"/>
        <v>0</v>
      </c>
      <c r="G791" s="339"/>
    </row>
    <row r="792" spans="1:7" s="278" customFormat="1">
      <c r="A792" s="336"/>
      <c r="B792" s="423" t="s">
        <v>2170</v>
      </c>
      <c r="C792" s="285" t="s">
        <v>26</v>
      </c>
      <c r="D792" s="318">
        <v>4.0999999999999996</v>
      </c>
      <c r="E792" s="45"/>
      <c r="F792" s="338">
        <f t="shared" si="25"/>
        <v>0</v>
      </c>
      <c r="G792" s="339"/>
    </row>
    <row r="793" spans="1:7" s="278" customFormat="1">
      <c r="A793" s="336"/>
      <c r="B793" s="423" t="s">
        <v>2171</v>
      </c>
      <c r="C793" s="285" t="s">
        <v>26</v>
      </c>
      <c r="D793" s="318">
        <v>6.8</v>
      </c>
      <c r="E793" s="45"/>
      <c r="F793" s="338">
        <f t="shared" si="25"/>
        <v>0</v>
      </c>
      <c r="G793" s="339"/>
    </row>
    <row r="794" spans="1:7" s="278" customFormat="1">
      <c r="A794" s="336"/>
      <c r="B794" s="423" t="s">
        <v>2172</v>
      </c>
      <c r="C794" s="285" t="s">
        <v>26</v>
      </c>
      <c r="D794" s="318">
        <v>0.7</v>
      </c>
      <c r="E794" s="45"/>
      <c r="F794" s="338">
        <f t="shared" si="25"/>
        <v>0</v>
      </c>
      <c r="G794" s="339"/>
    </row>
    <row r="795" spans="1:7" s="278" customFormat="1">
      <c r="A795" s="336"/>
      <c r="B795" s="423" t="s">
        <v>2173</v>
      </c>
      <c r="C795" s="285" t="s">
        <v>26</v>
      </c>
      <c r="D795" s="318">
        <v>2.2000000000000002</v>
      </c>
      <c r="E795" s="45"/>
      <c r="F795" s="338">
        <f t="shared" si="25"/>
        <v>0</v>
      </c>
      <c r="G795" s="339"/>
    </row>
    <row r="796" spans="1:7" s="278" customFormat="1">
      <c r="A796" s="336"/>
      <c r="B796" s="423" t="s">
        <v>2174</v>
      </c>
      <c r="C796" s="285" t="s">
        <v>26</v>
      </c>
      <c r="D796" s="318">
        <v>6.9</v>
      </c>
      <c r="E796" s="45"/>
      <c r="F796" s="338">
        <f t="shared" si="25"/>
        <v>0</v>
      </c>
      <c r="G796" s="339"/>
    </row>
    <row r="797" spans="1:7" s="278" customFormat="1">
      <c r="A797" s="336"/>
      <c r="B797" s="423" t="s">
        <v>2175</v>
      </c>
      <c r="C797" s="285" t="s">
        <v>26</v>
      </c>
      <c r="D797" s="318">
        <v>1.8</v>
      </c>
      <c r="E797" s="45"/>
      <c r="F797" s="338">
        <f t="shared" si="25"/>
        <v>0</v>
      </c>
      <c r="G797" s="339"/>
    </row>
    <row r="798" spans="1:7" s="278" customFormat="1">
      <c r="A798" s="336"/>
      <c r="B798" s="423" t="s">
        <v>2181</v>
      </c>
      <c r="C798" s="285" t="s">
        <v>26</v>
      </c>
      <c r="D798" s="318">
        <v>0.7</v>
      </c>
      <c r="E798" s="45"/>
      <c r="F798" s="338">
        <f t="shared" si="25"/>
        <v>0</v>
      </c>
      <c r="G798" s="339"/>
    </row>
    <row r="799" spans="1:7" s="278" customFormat="1">
      <c r="A799" s="336"/>
      <c r="B799" s="423" t="s">
        <v>2182</v>
      </c>
      <c r="C799" s="285" t="s">
        <v>26</v>
      </c>
      <c r="D799" s="318">
        <v>0.7</v>
      </c>
      <c r="E799" s="45"/>
      <c r="F799" s="338">
        <f t="shared" si="25"/>
        <v>0</v>
      </c>
      <c r="G799" s="339"/>
    </row>
    <row r="800" spans="1:7" s="278" customFormat="1">
      <c r="A800" s="336"/>
      <c r="B800" s="423" t="s">
        <v>2176</v>
      </c>
      <c r="C800" s="285" t="s">
        <v>26</v>
      </c>
      <c r="D800" s="318">
        <v>11.3</v>
      </c>
      <c r="E800" s="45"/>
      <c r="F800" s="338">
        <f t="shared" si="25"/>
        <v>0</v>
      </c>
      <c r="G800" s="339"/>
    </row>
    <row r="801" spans="1:7" s="278" customFormat="1">
      <c r="A801" s="336"/>
      <c r="B801" s="423" t="s">
        <v>2177</v>
      </c>
      <c r="C801" s="285" t="s">
        <v>26</v>
      </c>
      <c r="D801" s="318">
        <v>11.9</v>
      </c>
      <c r="E801" s="45"/>
      <c r="F801" s="338">
        <f t="shared" si="25"/>
        <v>0</v>
      </c>
      <c r="G801" s="339"/>
    </row>
    <row r="802" spans="1:7" s="278" customFormat="1">
      <c r="A802" s="336"/>
      <c r="B802" s="423" t="s">
        <v>2178</v>
      </c>
      <c r="C802" s="285" t="s">
        <v>26</v>
      </c>
      <c r="D802" s="318">
        <v>3.2</v>
      </c>
      <c r="E802" s="45"/>
      <c r="F802" s="338">
        <f t="shared" si="25"/>
        <v>0</v>
      </c>
      <c r="G802" s="339"/>
    </row>
    <row r="803" spans="1:7" s="278" customFormat="1">
      <c r="A803" s="336"/>
      <c r="B803" s="423" t="s">
        <v>2179</v>
      </c>
      <c r="C803" s="285" t="s">
        <v>26</v>
      </c>
      <c r="D803" s="318">
        <v>5.0999999999999996</v>
      </c>
      <c r="E803" s="45"/>
      <c r="F803" s="338">
        <f t="shared" si="25"/>
        <v>0</v>
      </c>
      <c r="G803" s="339"/>
    </row>
    <row r="804" spans="1:7" s="278" customFormat="1">
      <c r="A804" s="336"/>
      <c r="B804" s="423" t="s">
        <v>2180</v>
      </c>
      <c r="C804" s="285" t="s">
        <v>26</v>
      </c>
      <c r="D804" s="318">
        <v>2.7</v>
      </c>
      <c r="E804" s="45"/>
      <c r="F804" s="338">
        <f>D804*E804</f>
        <v>0</v>
      </c>
      <c r="G804" s="339"/>
    </row>
    <row r="805" spans="1:7" s="278" customFormat="1">
      <c r="A805" s="336"/>
      <c r="B805" s="337"/>
      <c r="C805" s="285"/>
      <c r="D805" s="318"/>
      <c r="E805" s="45"/>
      <c r="F805" s="338">
        <f t="shared" si="24"/>
        <v>0</v>
      </c>
      <c r="G805" s="339"/>
    </row>
    <row r="806" spans="1:7" s="278" customFormat="1">
      <c r="A806" s="419">
        <f>IF(B806&gt;0,MAX(A746:A805)+1,"")</f>
        <v>44</v>
      </c>
      <c r="B806" s="444" t="s">
        <v>1307</v>
      </c>
      <c r="C806" s="285"/>
      <c r="D806" s="318"/>
      <c r="E806" s="45"/>
      <c r="F806" s="338">
        <f t="shared" si="24"/>
        <v>0</v>
      </c>
      <c r="G806" s="339"/>
    </row>
    <row r="807" spans="1:7" s="278" customFormat="1" ht="76.5">
      <c r="A807" s="9"/>
      <c r="B807" s="445" t="s">
        <v>1303</v>
      </c>
      <c r="C807" s="446"/>
      <c r="D807" s="447"/>
      <c r="E807" s="519"/>
      <c r="F807" s="338">
        <f t="shared" si="24"/>
        <v>0</v>
      </c>
      <c r="G807" s="339"/>
    </row>
    <row r="808" spans="1:7" s="278" customFormat="1" ht="76.5">
      <c r="A808" s="9"/>
      <c r="B808" s="445" t="s">
        <v>1304</v>
      </c>
      <c r="C808" s="446"/>
      <c r="D808" s="447"/>
      <c r="E808" s="519"/>
      <c r="F808" s="338">
        <f t="shared" si="24"/>
        <v>0</v>
      </c>
      <c r="G808" s="339"/>
    </row>
    <row r="809" spans="1:7" s="278" customFormat="1" ht="114.75">
      <c r="A809" s="9"/>
      <c r="B809" s="449" t="s">
        <v>1308</v>
      </c>
      <c r="C809" s="446"/>
      <c r="D809" s="447"/>
      <c r="E809" s="519"/>
      <c r="F809" s="338">
        <f t="shared" si="24"/>
        <v>0</v>
      </c>
      <c r="G809" s="339"/>
    </row>
    <row r="810" spans="1:7" s="278" customFormat="1">
      <c r="A810" s="9"/>
      <c r="B810" s="449" t="s">
        <v>1309</v>
      </c>
      <c r="C810" s="446"/>
      <c r="D810" s="447"/>
      <c r="E810" s="519"/>
      <c r="F810" s="338">
        <f t="shared" si="24"/>
        <v>0</v>
      </c>
      <c r="G810" s="339"/>
    </row>
    <row r="811" spans="1:7" s="278" customFormat="1">
      <c r="A811" s="9"/>
      <c r="B811" s="445" t="s">
        <v>1305</v>
      </c>
      <c r="C811" s="446" t="s">
        <v>27</v>
      </c>
      <c r="D811" s="447">
        <v>42</v>
      </c>
      <c r="E811" s="519"/>
      <c r="F811" s="338">
        <f t="shared" si="24"/>
        <v>0</v>
      </c>
      <c r="G811" s="339"/>
    </row>
    <row r="812" spans="1:7" s="278" customFormat="1">
      <c r="A812" s="9"/>
      <c r="B812" s="445" t="s">
        <v>2117</v>
      </c>
      <c r="C812" s="446" t="s">
        <v>26</v>
      </c>
      <c r="D812" s="447">
        <v>265</v>
      </c>
      <c r="E812" s="519"/>
      <c r="F812" s="338">
        <f t="shared" si="24"/>
        <v>0</v>
      </c>
      <c r="G812" s="339"/>
    </row>
    <row r="813" spans="1:7" s="278" customFormat="1">
      <c r="A813" s="9"/>
      <c r="B813" s="445" t="s">
        <v>1306</v>
      </c>
      <c r="C813" s="446" t="s">
        <v>27</v>
      </c>
      <c r="D813" s="447">
        <v>15</v>
      </c>
      <c r="E813" s="519"/>
      <c r="F813" s="338">
        <f t="shared" si="24"/>
        <v>0</v>
      </c>
      <c r="G813" s="339"/>
    </row>
    <row r="814" spans="1:7" s="278" customFormat="1">
      <c r="A814" s="336"/>
      <c r="B814" s="337"/>
      <c r="C814" s="285"/>
      <c r="D814" s="318"/>
      <c r="E814" s="45"/>
      <c r="F814" s="338">
        <f t="shared" si="24"/>
        <v>0</v>
      </c>
      <c r="G814" s="339"/>
    </row>
    <row r="815" spans="1:7" s="278" customFormat="1" ht="30">
      <c r="A815" s="419">
        <f>IF(B815&gt;0,MAX(A760:A814)+1,"")</f>
        <v>45</v>
      </c>
      <c r="B815" s="392" t="s">
        <v>2135</v>
      </c>
      <c r="C815" s="285"/>
      <c r="D815" s="318"/>
      <c r="E815" s="45"/>
      <c r="F815" s="338">
        <f t="shared" si="24"/>
        <v>0</v>
      </c>
      <c r="G815" s="339"/>
    </row>
    <row r="816" spans="1:7" s="278" customFormat="1" ht="38.25">
      <c r="A816" s="336"/>
      <c r="B816" s="436" t="s">
        <v>1521</v>
      </c>
      <c r="C816" s="285"/>
      <c r="D816" s="318"/>
      <c r="E816" s="45"/>
      <c r="F816" s="338">
        <f t="shared" si="24"/>
        <v>0</v>
      </c>
      <c r="G816" s="339"/>
    </row>
    <row r="817" spans="1:7" s="278" customFormat="1" ht="89.25">
      <c r="A817" s="336"/>
      <c r="B817" s="437" t="s">
        <v>197</v>
      </c>
      <c r="C817" s="285"/>
      <c r="D817" s="318"/>
      <c r="E817" s="45"/>
      <c r="F817" s="338">
        <f t="shared" si="24"/>
        <v>0</v>
      </c>
      <c r="G817" s="339"/>
    </row>
    <row r="818" spans="1:7" s="278" customFormat="1" ht="165.75">
      <c r="A818" s="438" t="s">
        <v>55</v>
      </c>
      <c r="B818" s="440" t="s">
        <v>1454</v>
      </c>
      <c r="C818" s="285"/>
      <c r="D818" s="318"/>
      <c r="E818" s="45"/>
      <c r="F818" s="338">
        <f t="shared" si="24"/>
        <v>0</v>
      </c>
      <c r="G818" s="339"/>
    </row>
    <row r="819" spans="1:7" s="278" customFormat="1" ht="63.75">
      <c r="A819" s="438" t="s">
        <v>208</v>
      </c>
      <c r="B819" s="441" t="s">
        <v>1455</v>
      </c>
      <c r="C819" s="285"/>
      <c r="D819" s="318"/>
      <c r="E819" s="45"/>
      <c r="F819" s="338">
        <f t="shared" si="24"/>
        <v>0</v>
      </c>
      <c r="G819" s="339"/>
    </row>
    <row r="820" spans="1:7" s="448" customFormat="1">
      <c r="A820" s="438" t="s">
        <v>53</v>
      </c>
      <c r="B820" s="442" t="s">
        <v>1456</v>
      </c>
      <c r="C820" s="285"/>
      <c r="D820" s="318"/>
      <c r="E820" s="45"/>
      <c r="F820" s="338">
        <f t="shared" si="24"/>
        <v>0</v>
      </c>
    </row>
    <row r="821" spans="1:7" s="448" customFormat="1" ht="38.25">
      <c r="A821" s="336"/>
      <c r="B821" s="433" t="s">
        <v>167</v>
      </c>
      <c r="C821" s="285"/>
      <c r="D821" s="318"/>
      <c r="E821" s="45"/>
      <c r="F821" s="338">
        <f t="shared" si="24"/>
        <v>0</v>
      </c>
    </row>
    <row r="822" spans="1:7" s="448" customFormat="1">
      <c r="A822" s="336"/>
      <c r="B822" s="433" t="s">
        <v>1457</v>
      </c>
      <c r="C822" s="285"/>
      <c r="D822" s="318"/>
      <c r="E822" s="45"/>
      <c r="F822" s="338">
        <f t="shared" si="24"/>
        <v>0</v>
      </c>
    </row>
    <row r="823" spans="1:7" s="448" customFormat="1" ht="31.5" customHeight="1">
      <c r="A823" s="336"/>
      <c r="B823" s="433" t="s">
        <v>1463</v>
      </c>
      <c r="C823" s="285"/>
      <c r="D823" s="318"/>
      <c r="E823" s="45"/>
      <c r="F823" s="338">
        <f t="shared" si="24"/>
        <v>0</v>
      </c>
    </row>
    <row r="824" spans="1:7" s="448" customFormat="1">
      <c r="A824" s="336"/>
      <c r="B824" s="433" t="s">
        <v>1458</v>
      </c>
      <c r="C824" s="285"/>
      <c r="D824" s="301"/>
      <c r="E824" s="45"/>
      <c r="F824" s="338">
        <f t="shared" si="24"/>
        <v>0</v>
      </c>
    </row>
    <row r="825" spans="1:7" s="448" customFormat="1">
      <c r="A825" s="336"/>
      <c r="B825" s="433" t="s">
        <v>209</v>
      </c>
      <c r="C825" s="285" t="s">
        <v>27</v>
      </c>
      <c r="D825" s="301">
        <v>31.1</v>
      </c>
      <c r="E825" s="45"/>
      <c r="F825" s="338">
        <f t="shared" si="24"/>
        <v>0</v>
      </c>
    </row>
    <row r="826" spans="1:7" s="448" customFormat="1">
      <c r="A826" s="336"/>
      <c r="B826" s="433" t="s">
        <v>1459</v>
      </c>
      <c r="C826" s="285" t="s">
        <v>26</v>
      </c>
      <c r="D826" s="301">
        <v>9.1999999999999993</v>
      </c>
      <c r="E826" s="45"/>
      <c r="F826" s="338">
        <f t="shared" si="24"/>
        <v>0</v>
      </c>
    </row>
    <row r="827" spans="1:7" s="278" customFormat="1">
      <c r="A827" s="336"/>
      <c r="B827" s="433" t="s">
        <v>1462</v>
      </c>
      <c r="C827" s="285" t="s">
        <v>26</v>
      </c>
      <c r="D827" s="301">
        <v>9.1999999999999993</v>
      </c>
      <c r="E827" s="45"/>
      <c r="F827" s="338">
        <f t="shared" si="24"/>
        <v>0</v>
      </c>
      <c r="G827" s="339"/>
    </row>
    <row r="828" spans="1:7" s="278" customFormat="1">
      <c r="A828" s="336"/>
      <c r="B828" s="433"/>
      <c r="C828" s="285"/>
      <c r="D828" s="301"/>
      <c r="E828" s="45"/>
      <c r="F828" s="338">
        <f t="shared" ref="F828:F837" si="26">D828*E828</f>
        <v>0</v>
      </c>
      <c r="G828" s="339"/>
    </row>
    <row r="829" spans="1:7" s="278" customFormat="1" ht="30">
      <c r="A829" s="419">
        <f>IF(B829&gt;0,MAX(A774:A828)+1,"")</f>
        <v>46</v>
      </c>
      <c r="B829" s="392" t="s">
        <v>4572</v>
      </c>
      <c r="C829" s="285"/>
      <c r="D829" s="318"/>
      <c r="E829" s="45"/>
      <c r="F829" s="338">
        <f t="shared" si="26"/>
        <v>0</v>
      </c>
      <c r="G829" s="339"/>
    </row>
    <row r="830" spans="1:7" s="278" customFormat="1" ht="25.5">
      <c r="A830" s="336"/>
      <c r="B830" s="436" t="s">
        <v>4573</v>
      </c>
      <c r="C830" s="285"/>
      <c r="D830" s="318"/>
      <c r="E830" s="45"/>
      <c r="F830" s="338">
        <f t="shared" si="26"/>
        <v>0</v>
      </c>
      <c r="G830" s="364"/>
    </row>
    <row r="831" spans="1:7" s="278" customFormat="1" ht="89.25">
      <c r="A831" s="336"/>
      <c r="B831" s="437" t="s">
        <v>197</v>
      </c>
      <c r="C831" s="285"/>
      <c r="D831" s="318"/>
      <c r="E831" s="45"/>
      <c r="F831" s="338">
        <f t="shared" si="26"/>
        <v>0</v>
      </c>
      <c r="G831" s="339"/>
    </row>
    <row r="832" spans="1:7" s="278" customFormat="1" ht="153">
      <c r="A832" s="438" t="s">
        <v>55</v>
      </c>
      <c r="B832" s="440" t="s">
        <v>4574</v>
      </c>
      <c r="C832" s="285"/>
      <c r="D832" s="318"/>
      <c r="E832" s="45"/>
      <c r="F832" s="338">
        <f t="shared" si="26"/>
        <v>0</v>
      </c>
      <c r="G832" s="339"/>
    </row>
    <row r="833" spans="1:7" s="278" customFormat="1" ht="63.75">
      <c r="A833" s="438" t="s">
        <v>208</v>
      </c>
      <c r="B833" s="441" t="s">
        <v>1455</v>
      </c>
      <c r="C833" s="285"/>
      <c r="D833" s="318"/>
      <c r="E833" s="45"/>
      <c r="F833" s="338">
        <f t="shared" si="26"/>
        <v>0</v>
      </c>
      <c r="G833" s="339"/>
    </row>
    <row r="834" spans="1:7" s="278" customFormat="1">
      <c r="A834" s="438" t="s">
        <v>53</v>
      </c>
      <c r="B834" s="442" t="s">
        <v>1456</v>
      </c>
      <c r="C834" s="285"/>
      <c r="D834" s="318"/>
      <c r="E834" s="45"/>
      <c r="F834" s="338">
        <f t="shared" si="26"/>
        <v>0</v>
      </c>
      <c r="G834" s="339"/>
    </row>
    <row r="835" spans="1:7" s="278" customFormat="1" ht="38.25">
      <c r="A835" s="336"/>
      <c r="B835" s="433" t="s">
        <v>167</v>
      </c>
      <c r="C835" s="285"/>
      <c r="D835" s="318"/>
      <c r="E835" s="45"/>
      <c r="F835" s="338">
        <f t="shared" si="26"/>
        <v>0</v>
      </c>
      <c r="G835" s="339"/>
    </row>
    <row r="836" spans="1:7" s="278" customFormat="1">
      <c r="A836" s="336"/>
      <c r="B836" s="433" t="s">
        <v>1457</v>
      </c>
      <c r="C836" s="285"/>
      <c r="D836" s="318"/>
      <c r="E836" s="45"/>
      <c r="F836" s="338">
        <f t="shared" si="26"/>
        <v>0</v>
      </c>
      <c r="G836" s="339"/>
    </row>
    <row r="837" spans="1:7" s="278" customFormat="1" ht="25.5">
      <c r="A837" s="336"/>
      <c r="B837" s="433" t="s">
        <v>1463</v>
      </c>
      <c r="C837" s="285"/>
      <c r="D837" s="318"/>
      <c r="E837" s="45"/>
      <c r="F837" s="338">
        <f t="shared" si="26"/>
        <v>0</v>
      </c>
      <c r="G837" s="339"/>
    </row>
    <row r="838" spans="1:7" s="278" customFormat="1">
      <c r="A838" s="336"/>
      <c r="B838" s="433" t="s">
        <v>4575</v>
      </c>
      <c r="C838" s="285" t="s">
        <v>27</v>
      </c>
      <c r="D838" s="301">
        <v>140</v>
      </c>
      <c r="E838" s="45"/>
      <c r="F838" s="338">
        <f>D838*E838</f>
        <v>0</v>
      </c>
      <c r="G838" s="339"/>
    </row>
    <row r="839" spans="1:7" s="278" customFormat="1">
      <c r="A839" s="336"/>
      <c r="B839" s="433"/>
      <c r="C839" s="285"/>
      <c r="D839" s="301"/>
      <c r="E839" s="45"/>
      <c r="F839" s="338">
        <f t="shared" ref="F839" si="27">D839*E839</f>
        <v>0</v>
      </c>
      <c r="G839" s="339"/>
    </row>
    <row r="840" spans="1:7" s="278" customFormat="1">
      <c r="A840" s="289" t="s">
        <v>13</v>
      </c>
      <c r="B840" s="369" t="s">
        <v>14</v>
      </c>
      <c r="C840" s="341"/>
      <c r="D840" s="342"/>
      <c r="E840" s="351"/>
      <c r="F840" s="389">
        <f>SUM(F411:F838)</f>
        <v>0</v>
      </c>
      <c r="G840" s="339"/>
    </row>
    <row r="841" spans="1:7" s="278" customFormat="1">
      <c r="A841" s="451"/>
      <c r="B841" s="294"/>
      <c r="C841" s="294"/>
      <c r="D841" s="452"/>
      <c r="E841" s="45"/>
      <c r="F841" s="453"/>
      <c r="G841" s="450"/>
    </row>
    <row r="842" spans="1:7" s="278" customFormat="1">
      <c r="A842" s="289" t="s">
        <v>11</v>
      </c>
      <c r="B842" s="369" t="s">
        <v>50</v>
      </c>
      <c r="C842" s="454"/>
      <c r="D842" s="371"/>
      <c r="E842" s="520"/>
      <c r="F842" s="455"/>
      <c r="G842" s="339"/>
    </row>
    <row r="843" spans="1:7" s="278" customFormat="1">
      <c r="A843" s="344"/>
      <c r="B843" s="428"/>
      <c r="C843" s="309"/>
      <c r="D843" s="316"/>
      <c r="E843" s="352"/>
      <c r="F843" s="307"/>
      <c r="G843" s="339"/>
    </row>
    <row r="844" spans="1:7" s="278" customFormat="1">
      <c r="A844" s="456">
        <v>1</v>
      </c>
      <c r="B844" s="386" t="s">
        <v>1278</v>
      </c>
      <c r="C844" s="309"/>
      <c r="D844" s="316"/>
      <c r="E844" s="352"/>
      <c r="F844" s="307"/>
      <c r="G844" s="364"/>
    </row>
    <row r="845" spans="1:7" s="278" customFormat="1" ht="76.5">
      <c r="A845" s="336"/>
      <c r="B845" s="457" t="s">
        <v>1314</v>
      </c>
      <c r="C845" s="309"/>
      <c r="D845" s="316"/>
      <c r="E845" s="352"/>
      <c r="F845" s="307"/>
      <c r="G845" s="339"/>
    </row>
    <row r="846" spans="1:7" s="278" customFormat="1">
      <c r="A846" s="336"/>
      <c r="B846" s="458" t="s">
        <v>49</v>
      </c>
      <c r="C846" s="309"/>
      <c r="D846" s="316"/>
      <c r="E846" s="352"/>
      <c r="F846" s="307"/>
      <c r="G846" s="339"/>
    </row>
    <row r="847" spans="1:7" s="278" customFormat="1">
      <c r="A847" s="336"/>
      <c r="B847" s="304" t="s">
        <v>238</v>
      </c>
      <c r="C847" s="309"/>
      <c r="D847" s="316"/>
      <c r="E847" s="352"/>
      <c r="F847" s="307"/>
      <c r="G847" s="339"/>
    </row>
    <row r="848" spans="1:7" s="278" customFormat="1">
      <c r="A848" s="336"/>
      <c r="B848" s="361" t="s">
        <v>48</v>
      </c>
      <c r="C848" s="285" t="s">
        <v>27</v>
      </c>
      <c r="D848" s="301">
        <v>2300</v>
      </c>
      <c r="E848" s="45"/>
      <c r="F848" s="302">
        <f>E848*D848</f>
        <v>0</v>
      </c>
      <c r="G848" s="339"/>
    </row>
    <row r="849" spans="1:7" s="278" customFormat="1">
      <c r="A849" s="459"/>
      <c r="B849" s="460"/>
      <c r="C849" s="461"/>
      <c r="D849" s="462"/>
      <c r="E849" s="48"/>
      <c r="F849" s="302">
        <f t="shared" ref="F849:F869" si="28">E849*D849</f>
        <v>0</v>
      </c>
      <c r="G849" s="339"/>
    </row>
    <row r="850" spans="1:7" s="278" customFormat="1">
      <c r="A850" s="456">
        <f>IF(B850&gt;0,MAX(A843:A849)+1,"")</f>
        <v>2</v>
      </c>
      <c r="B850" s="463" t="s">
        <v>1279</v>
      </c>
      <c r="C850" s="461"/>
      <c r="D850" s="462"/>
      <c r="E850" s="48"/>
      <c r="F850" s="302">
        <f t="shared" si="28"/>
        <v>0</v>
      </c>
      <c r="G850" s="339"/>
    </row>
    <row r="851" spans="1:7" s="278" customFormat="1" ht="127.5">
      <c r="A851" s="459"/>
      <c r="B851" s="464" t="s">
        <v>1522</v>
      </c>
      <c r="C851" s="461"/>
      <c r="D851" s="462"/>
      <c r="E851" s="48"/>
      <c r="F851" s="302">
        <f t="shared" si="28"/>
        <v>0</v>
      </c>
      <c r="G851" s="339"/>
    </row>
    <row r="852" spans="1:7" s="278" customFormat="1">
      <c r="A852" s="465"/>
      <c r="B852" s="464" t="s">
        <v>1280</v>
      </c>
      <c r="C852" s="466" t="s">
        <v>66</v>
      </c>
      <c r="D852" s="467">
        <v>561</v>
      </c>
      <c r="E852" s="48"/>
      <c r="F852" s="302">
        <f t="shared" si="28"/>
        <v>0</v>
      </c>
      <c r="G852" s="450"/>
    </row>
    <row r="853" spans="1:7" s="278" customFormat="1">
      <c r="A853" s="459"/>
      <c r="B853" s="460"/>
      <c r="C853" s="461"/>
      <c r="D853" s="462"/>
      <c r="E853" s="48"/>
      <c r="F853" s="302">
        <f t="shared" si="28"/>
        <v>0</v>
      </c>
      <c r="G853" s="339"/>
    </row>
    <row r="854" spans="1:7" s="278" customFormat="1">
      <c r="A854" s="456">
        <f>IF(B854&gt;0,MAX(A847:A853)+1,"")</f>
        <v>3</v>
      </c>
      <c r="B854" s="463" t="s">
        <v>1363</v>
      </c>
      <c r="C854" s="461"/>
      <c r="D854" s="462"/>
      <c r="E854" s="48"/>
      <c r="F854" s="302">
        <f t="shared" si="28"/>
        <v>0</v>
      </c>
      <c r="G854" s="339"/>
    </row>
    <row r="855" spans="1:7" ht="76.5">
      <c r="A855" s="459"/>
      <c r="B855" s="464" t="s">
        <v>1946</v>
      </c>
      <c r="C855" s="461"/>
      <c r="D855" s="462"/>
      <c r="E855" s="48"/>
      <c r="F855" s="302">
        <f t="shared" si="28"/>
        <v>0</v>
      </c>
    </row>
    <row r="856" spans="1:7">
      <c r="A856" s="465"/>
      <c r="B856" s="464" t="s">
        <v>1364</v>
      </c>
      <c r="C856" s="466"/>
      <c r="D856" s="467"/>
      <c r="E856" s="48"/>
      <c r="F856" s="302">
        <f t="shared" si="28"/>
        <v>0</v>
      </c>
    </row>
    <row r="857" spans="1:7">
      <c r="A857" s="465"/>
      <c r="B857" s="464" t="s">
        <v>1365</v>
      </c>
      <c r="C857" s="466" t="s">
        <v>27</v>
      </c>
      <c r="D857" s="467">
        <v>46</v>
      </c>
      <c r="E857" s="48"/>
      <c r="F857" s="302">
        <f t="shared" si="28"/>
        <v>0</v>
      </c>
    </row>
    <row r="858" spans="1:7">
      <c r="A858" s="465"/>
      <c r="B858" s="464" t="s">
        <v>1366</v>
      </c>
      <c r="C858" s="466" t="s">
        <v>27</v>
      </c>
      <c r="D858" s="467">
        <v>46</v>
      </c>
      <c r="E858" s="48"/>
      <c r="F858" s="302">
        <f t="shared" si="28"/>
        <v>0</v>
      </c>
    </row>
    <row r="859" spans="1:7">
      <c r="A859" s="465"/>
      <c r="B859" s="460"/>
      <c r="C859" s="461"/>
      <c r="D859" s="462"/>
      <c r="E859" s="48"/>
      <c r="F859" s="302">
        <f t="shared" si="28"/>
        <v>0</v>
      </c>
    </row>
    <row r="860" spans="1:7">
      <c r="A860" s="456">
        <f>IF(B860&gt;0,MAX(A853:A859)+1,"")</f>
        <v>4</v>
      </c>
      <c r="B860" s="463" t="s">
        <v>1614</v>
      </c>
      <c r="C860" s="468"/>
      <c r="D860" s="376"/>
      <c r="E860" s="46"/>
      <c r="F860" s="302">
        <f t="shared" si="28"/>
        <v>0</v>
      </c>
    </row>
    <row r="861" spans="1:7" ht="63.75">
      <c r="A861" s="419"/>
      <c r="B861" s="464" t="s">
        <v>1611</v>
      </c>
      <c r="C861" s="466"/>
      <c r="D861" s="467"/>
      <c r="E861" s="48"/>
      <c r="F861" s="302">
        <f t="shared" si="28"/>
        <v>0</v>
      </c>
    </row>
    <row r="862" spans="1:7" ht="51">
      <c r="A862" s="469"/>
      <c r="B862" s="464" t="s">
        <v>1588</v>
      </c>
      <c r="C862" s="466"/>
      <c r="D862" s="467"/>
      <c r="E862" s="48"/>
      <c r="F862" s="302">
        <f t="shared" si="28"/>
        <v>0</v>
      </c>
    </row>
    <row r="863" spans="1:7">
      <c r="A863" s="469"/>
      <c r="B863" s="464" t="s">
        <v>1589</v>
      </c>
      <c r="C863" s="466"/>
      <c r="D863" s="467"/>
      <c r="E863" s="48"/>
      <c r="F863" s="302">
        <f t="shared" si="28"/>
        <v>0</v>
      </c>
    </row>
    <row r="864" spans="1:7">
      <c r="A864" s="469"/>
      <c r="B864" s="464" t="s">
        <v>1612</v>
      </c>
      <c r="C864" s="466"/>
      <c r="D864" s="467"/>
      <c r="E864" s="48"/>
      <c r="F864" s="302">
        <f t="shared" si="28"/>
        <v>0</v>
      </c>
    </row>
    <row r="865" spans="1:6">
      <c r="A865" s="469"/>
      <c r="B865" s="464" t="s">
        <v>1613</v>
      </c>
      <c r="C865" s="466" t="s">
        <v>66</v>
      </c>
      <c r="D865" s="467">
        <v>3</v>
      </c>
      <c r="E865" s="48"/>
      <c r="F865" s="302">
        <f t="shared" si="28"/>
        <v>0</v>
      </c>
    </row>
    <row r="866" spans="1:6">
      <c r="A866" s="469"/>
      <c r="B866" s="470"/>
      <c r="C866" s="468"/>
      <c r="D866" s="376"/>
      <c r="E866" s="46"/>
      <c r="F866" s="302">
        <f t="shared" si="28"/>
        <v>0</v>
      </c>
    </row>
    <row r="867" spans="1:6">
      <c r="A867" s="456">
        <f>IF(B867&gt;0,MAX(A860:A866)+1,"")</f>
        <v>5</v>
      </c>
      <c r="B867" s="463" t="s">
        <v>1616</v>
      </c>
      <c r="C867" s="468"/>
      <c r="D867" s="376"/>
      <c r="E867" s="46"/>
      <c r="F867" s="302">
        <f t="shared" si="28"/>
        <v>0</v>
      </c>
    </row>
    <row r="868" spans="1:6" ht="97.5">
      <c r="A868" s="419"/>
      <c r="B868" s="464" t="s">
        <v>1615</v>
      </c>
      <c r="C868" s="466"/>
      <c r="D868" s="467"/>
      <c r="E868" s="48"/>
      <c r="F868" s="302">
        <f t="shared" si="28"/>
        <v>0</v>
      </c>
    </row>
    <row r="869" spans="1:6">
      <c r="A869" s="469"/>
      <c r="B869" s="464" t="s">
        <v>1613</v>
      </c>
      <c r="C869" s="466" t="s">
        <v>66</v>
      </c>
      <c r="D869" s="467">
        <v>0.2</v>
      </c>
      <c r="E869" s="48"/>
      <c r="F869" s="302">
        <f t="shared" si="28"/>
        <v>0</v>
      </c>
    </row>
    <row r="870" spans="1:6">
      <c r="A870" s="469"/>
      <c r="B870" s="464"/>
      <c r="C870" s="468"/>
      <c r="D870" s="376"/>
      <c r="E870" s="46"/>
      <c r="F870" s="377"/>
    </row>
    <row r="871" spans="1:6">
      <c r="A871" s="289" t="s">
        <v>11</v>
      </c>
      <c r="B871" s="369" t="s">
        <v>12</v>
      </c>
      <c r="C871" s="369"/>
      <c r="D871" s="342"/>
      <c r="E871" s="521"/>
      <c r="F871" s="472">
        <f>SUM(F848:F870)</f>
        <v>0</v>
      </c>
    </row>
    <row r="872" spans="1:6">
      <c r="A872" s="473"/>
      <c r="B872" s="474"/>
      <c r="C872" s="474"/>
      <c r="D872" s="475"/>
      <c r="E872" s="14"/>
      <c r="F872" s="476"/>
    </row>
    <row r="873" spans="1:6" s="397" customFormat="1">
      <c r="A873" s="289" t="s">
        <v>1399</v>
      </c>
      <c r="B873" s="369" t="s">
        <v>47</v>
      </c>
      <c r="C873" s="369"/>
      <c r="D873" s="342"/>
      <c r="E873" s="521"/>
      <c r="F873" s="472"/>
    </row>
    <row r="874" spans="1:6" s="397" customFormat="1">
      <c r="A874" s="477"/>
      <c r="B874" s="474"/>
      <c r="C874" s="368"/>
      <c r="D874" s="452"/>
      <c r="E874" s="522"/>
      <c r="F874" s="453"/>
    </row>
    <row r="875" spans="1:6" s="397" customFormat="1">
      <c r="A875" s="477"/>
      <c r="B875" s="474" t="s">
        <v>46</v>
      </c>
      <c r="C875" s="368"/>
      <c r="D875" s="452"/>
      <c r="E875" s="522"/>
      <c r="F875" s="453"/>
    </row>
    <row r="876" spans="1:6" s="397" customFormat="1" ht="25.5">
      <c r="A876" s="478" t="s">
        <v>45</v>
      </c>
      <c r="B876" s="406" t="s">
        <v>44</v>
      </c>
      <c r="C876" s="368"/>
      <c r="D876" s="452"/>
      <c r="E876" s="522"/>
      <c r="F876" s="453"/>
    </row>
    <row r="877" spans="1:6" s="397" customFormat="1" ht="25.5">
      <c r="A877" s="478" t="s">
        <v>43</v>
      </c>
      <c r="B877" s="406" t="s">
        <v>42</v>
      </c>
      <c r="C877" s="368"/>
      <c r="D877" s="452"/>
      <c r="E877" s="522"/>
      <c r="F877" s="453"/>
    </row>
    <row r="878" spans="1:6" s="397" customFormat="1" ht="25.5">
      <c r="A878" s="478" t="s">
        <v>41</v>
      </c>
      <c r="B878" s="406" t="s">
        <v>1373</v>
      </c>
      <c r="C878" s="368"/>
      <c r="D878" s="452"/>
      <c r="E878" s="522"/>
      <c r="F878" s="453"/>
    </row>
    <row r="879" spans="1:6" s="397" customFormat="1" ht="51">
      <c r="A879" s="478" t="s">
        <v>40</v>
      </c>
      <c r="B879" s="406" t="s">
        <v>244</v>
      </c>
      <c r="C879" s="368"/>
      <c r="D879" s="452"/>
      <c r="E879" s="522"/>
      <c r="F879" s="453"/>
    </row>
    <row r="880" spans="1:6" s="397" customFormat="1" ht="51">
      <c r="A880" s="478" t="s">
        <v>39</v>
      </c>
      <c r="B880" s="406" t="s">
        <v>198</v>
      </c>
      <c r="C880" s="368"/>
      <c r="D880" s="287"/>
      <c r="E880" s="13"/>
      <c r="F880" s="288">
        <f>ROUND(+D880*E880,2)</f>
        <v>0</v>
      </c>
    </row>
    <row r="881" spans="1:7" s="397" customFormat="1" ht="25.5">
      <c r="A881" s="478" t="s">
        <v>169</v>
      </c>
      <c r="B881" s="406" t="s">
        <v>205</v>
      </c>
      <c r="C881" s="368"/>
      <c r="D881" s="287"/>
      <c r="E881" s="13"/>
      <c r="F881" s="288"/>
    </row>
    <row r="882" spans="1:7" s="397" customFormat="1">
      <c r="A882" s="478" t="s">
        <v>206</v>
      </c>
      <c r="B882" s="406" t="s">
        <v>207</v>
      </c>
      <c r="C882" s="368"/>
      <c r="D882" s="287"/>
      <c r="E882" s="13"/>
      <c r="F882" s="288"/>
    </row>
    <row r="883" spans="1:7" s="397" customFormat="1">
      <c r="A883" s="336"/>
      <c r="B883" s="317"/>
      <c r="C883" s="317"/>
      <c r="D883" s="318"/>
      <c r="E883" s="45"/>
      <c r="F883" s="338">
        <f>ROUND(+D883*E883,2)</f>
        <v>0</v>
      </c>
    </row>
    <row r="884" spans="1:7" s="278" customFormat="1">
      <c r="A884" s="336"/>
      <c r="B884" s="386" t="s">
        <v>38</v>
      </c>
      <c r="C884" s="317"/>
      <c r="D884" s="318"/>
      <c r="E884" s="45"/>
      <c r="F884" s="338">
        <f>ROUND(+D884*E884,2)</f>
        <v>0</v>
      </c>
      <c r="G884" s="339"/>
    </row>
    <row r="885" spans="1:7" s="278" customFormat="1">
      <c r="A885" s="336"/>
      <c r="B885" s="386"/>
      <c r="C885" s="317"/>
      <c r="D885" s="318"/>
      <c r="E885" s="45"/>
      <c r="F885" s="338"/>
      <c r="G885" s="339"/>
    </row>
    <row r="886" spans="1:7" s="278" customFormat="1">
      <c r="A886" s="479">
        <v>1</v>
      </c>
      <c r="B886" s="386" t="s">
        <v>281</v>
      </c>
      <c r="C886" s="317"/>
      <c r="D886" s="318"/>
      <c r="E886" s="45"/>
      <c r="F886" s="302">
        <f t="shared" ref="F886:F889" si="29">E886*D886</f>
        <v>0</v>
      </c>
      <c r="G886" s="339"/>
    </row>
    <row r="887" spans="1:7" s="278" customFormat="1" ht="178.5">
      <c r="A887" s="336"/>
      <c r="B887" s="406" t="s">
        <v>282</v>
      </c>
      <c r="C887" s="317"/>
      <c r="D887" s="318"/>
      <c r="E887" s="45"/>
      <c r="F887" s="302">
        <f t="shared" si="29"/>
        <v>0</v>
      </c>
      <c r="G887" s="339"/>
    </row>
    <row r="888" spans="1:7" s="278" customFormat="1" ht="51">
      <c r="A888" s="336"/>
      <c r="B888" s="406" t="s">
        <v>37</v>
      </c>
      <c r="C888" s="317"/>
      <c r="D888" s="318"/>
      <c r="E888" s="45"/>
      <c r="F888" s="302">
        <f t="shared" si="29"/>
        <v>0</v>
      </c>
      <c r="G888" s="339"/>
    </row>
    <row r="889" spans="1:7" s="278" customFormat="1">
      <c r="A889" s="336"/>
      <c r="B889" s="304" t="s">
        <v>300</v>
      </c>
      <c r="C889" s="317"/>
      <c r="D889" s="318"/>
      <c r="E889" s="45"/>
      <c r="F889" s="302">
        <f t="shared" si="29"/>
        <v>0</v>
      </c>
      <c r="G889" s="339"/>
    </row>
    <row r="890" spans="1:7" s="278" customFormat="1">
      <c r="A890" s="336"/>
      <c r="B890" s="361" t="s">
        <v>28</v>
      </c>
      <c r="C890" s="285" t="s">
        <v>27</v>
      </c>
      <c r="D890" s="301">
        <f>19.3+253.8+17+166.6+11.7</f>
        <v>468.4</v>
      </c>
      <c r="E890" s="45"/>
      <c r="F890" s="302">
        <f>E890*D890</f>
        <v>0</v>
      </c>
      <c r="G890" s="339"/>
    </row>
    <row r="891" spans="1:7" s="278" customFormat="1">
      <c r="A891" s="336"/>
      <c r="B891" s="361"/>
      <c r="C891" s="285"/>
      <c r="D891" s="318"/>
      <c r="E891" s="45"/>
      <c r="F891" s="302">
        <f t="shared" ref="F891:F954" si="30">E891*D891</f>
        <v>0</v>
      </c>
      <c r="G891" s="339"/>
    </row>
    <row r="892" spans="1:7" s="278" customFormat="1" ht="30">
      <c r="A892" s="480">
        <f>IF(B892&gt;0,MAX(A885:A891)+1,"")</f>
        <v>2</v>
      </c>
      <c r="B892" s="392" t="s">
        <v>283</v>
      </c>
      <c r="C892" s="317"/>
      <c r="D892" s="318"/>
      <c r="E892" s="45"/>
      <c r="F892" s="302">
        <f t="shared" si="30"/>
        <v>0</v>
      </c>
      <c r="G892" s="339"/>
    </row>
    <row r="893" spans="1:7" s="278" customFormat="1" ht="191.25">
      <c r="A893" s="336"/>
      <c r="B893" s="406" t="s">
        <v>284</v>
      </c>
      <c r="C893" s="317"/>
      <c r="D893" s="318"/>
      <c r="E893" s="45"/>
      <c r="F893" s="302">
        <f t="shared" si="30"/>
        <v>0</v>
      </c>
      <c r="G893" s="339"/>
    </row>
    <row r="894" spans="1:7" s="278" customFormat="1" ht="51">
      <c r="A894" s="336"/>
      <c r="B894" s="406" t="s">
        <v>37</v>
      </c>
      <c r="C894" s="317"/>
      <c r="D894" s="318"/>
      <c r="E894" s="45"/>
      <c r="F894" s="302">
        <f t="shared" si="30"/>
        <v>0</v>
      </c>
      <c r="G894" s="339"/>
    </row>
    <row r="895" spans="1:7" s="278" customFormat="1">
      <c r="A895" s="336"/>
      <c r="B895" s="304" t="s">
        <v>2031</v>
      </c>
      <c r="C895" s="317"/>
      <c r="D895" s="318"/>
      <c r="E895" s="45"/>
      <c r="F895" s="302">
        <f t="shared" si="30"/>
        <v>0</v>
      </c>
      <c r="G895" s="339"/>
    </row>
    <row r="896" spans="1:7" s="278" customFormat="1">
      <c r="A896" s="336"/>
      <c r="B896" s="361" t="s">
        <v>5613</v>
      </c>
      <c r="C896" s="285" t="s">
        <v>27</v>
      </c>
      <c r="D896" s="301">
        <f>19.3+253.8+17+166.6+11.7+30.5</f>
        <v>498.9</v>
      </c>
      <c r="E896" s="45"/>
      <c r="F896" s="302">
        <f t="shared" si="30"/>
        <v>0</v>
      </c>
      <c r="G896" s="339"/>
    </row>
    <row r="897" spans="1:7" s="278" customFormat="1">
      <c r="A897" s="336"/>
      <c r="B897" s="361"/>
      <c r="C897" s="285"/>
      <c r="D897" s="318"/>
      <c r="E897" s="45"/>
      <c r="F897" s="302">
        <f t="shared" si="30"/>
        <v>0</v>
      </c>
      <c r="G897" s="430"/>
    </row>
    <row r="898" spans="1:7" s="278" customFormat="1">
      <c r="A898" s="480">
        <f>IF(B898&gt;0,MAX(A890:A897)+1,"")</f>
        <v>3</v>
      </c>
      <c r="B898" s="386" t="s">
        <v>36</v>
      </c>
      <c r="C898" s="285"/>
      <c r="D898" s="318"/>
      <c r="E898" s="45"/>
      <c r="F898" s="302">
        <f t="shared" si="30"/>
        <v>0</v>
      </c>
      <c r="G898" s="339"/>
    </row>
    <row r="899" spans="1:7" s="278" customFormat="1" ht="380.25" customHeight="1">
      <c r="A899" s="336"/>
      <c r="B899" s="406" t="s">
        <v>2032</v>
      </c>
      <c r="C899" s="285"/>
      <c r="D899" s="318"/>
      <c r="E899" s="45"/>
      <c r="F899" s="302">
        <f t="shared" si="30"/>
        <v>0</v>
      </c>
      <c r="G899" s="339"/>
    </row>
    <row r="900" spans="1:7" s="278" customFormat="1" ht="114.75">
      <c r="A900" s="336"/>
      <c r="B900" s="406" t="s">
        <v>2033</v>
      </c>
      <c r="C900" s="285"/>
      <c r="D900" s="318"/>
      <c r="E900" s="45"/>
      <c r="F900" s="302">
        <f t="shared" si="30"/>
        <v>0</v>
      </c>
      <c r="G900" s="339"/>
    </row>
    <row r="901" spans="1:7" s="278" customFormat="1" ht="48.75" customHeight="1">
      <c r="A901" s="336"/>
      <c r="B901" s="361" t="s">
        <v>33</v>
      </c>
      <c r="C901" s="285"/>
      <c r="D901" s="318"/>
      <c r="E901" s="45"/>
      <c r="F901" s="302">
        <f t="shared" si="30"/>
        <v>0</v>
      </c>
      <c r="G901" s="339"/>
    </row>
    <row r="902" spans="1:7" s="278" customFormat="1" ht="51">
      <c r="A902" s="336"/>
      <c r="B902" s="361" t="s">
        <v>32</v>
      </c>
      <c r="C902" s="285"/>
      <c r="D902" s="318"/>
      <c r="E902" s="45"/>
      <c r="F902" s="302">
        <f t="shared" si="30"/>
        <v>0</v>
      </c>
      <c r="G902" s="339"/>
    </row>
    <row r="903" spans="1:7" s="278" customFormat="1" ht="38.25">
      <c r="A903" s="336"/>
      <c r="B903" s="361" t="s">
        <v>2034</v>
      </c>
      <c r="C903" s="285"/>
      <c r="D903" s="318"/>
      <c r="E903" s="45"/>
      <c r="F903" s="302">
        <f t="shared" si="30"/>
        <v>0</v>
      </c>
      <c r="G903" s="339"/>
    </row>
    <row r="904" spans="1:7" s="278" customFormat="1" ht="25.5">
      <c r="A904" s="336"/>
      <c r="B904" s="361" t="s">
        <v>35</v>
      </c>
      <c r="C904" s="285"/>
      <c r="D904" s="318"/>
      <c r="E904" s="45"/>
      <c r="F904" s="302">
        <f t="shared" si="30"/>
        <v>0</v>
      </c>
      <c r="G904" s="339"/>
    </row>
    <row r="905" spans="1:7" s="278" customFormat="1">
      <c r="A905" s="336"/>
      <c r="B905" s="304" t="s">
        <v>373</v>
      </c>
      <c r="C905" s="285"/>
      <c r="D905" s="318"/>
      <c r="E905" s="45"/>
      <c r="F905" s="302">
        <f t="shared" si="30"/>
        <v>0</v>
      </c>
      <c r="G905" s="339"/>
    </row>
    <row r="906" spans="1:7" s="278" customFormat="1">
      <c r="A906" s="336"/>
      <c r="B906" s="361" t="s">
        <v>187</v>
      </c>
      <c r="C906" s="285"/>
      <c r="D906" s="301"/>
      <c r="E906" s="45"/>
      <c r="F906" s="302">
        <f t="shared" si="30"/>
        <v>0</v>
      </c>
      <c r="G906" s="339"/>
    </row>
    <row r="907" spans="1:7" s="278" customFormat="1">
      <c r="A907" s="336"/>
      <c r="B907" s="361" t="s">
        <v>418</v>
      </c>
      <c r="C907" s="285" t="s">
        <v>27</v>
      </c>
      <c r="D907" s="301">
        <f>194.5</f>
        <v>194.5</v>
      </c>
      <c r="E907" s="45"/>
      <c r="F907" s="302">
        <f t="shared" si="30"/>
        <v>0</v>
      </c>
      <c r="G907" s="339"/>
    </row>
    <row r="908" spans="1:7" s="278" customFormat="1">
      <c r="A908" s="336"/>
      <c r="B908" s="361" t="s">
        <v>376</v>
      </c>
      <c r="C908" s="285" t="s">
        <v>27</v>
      </c>
      <c r="D908" s="301">
        <f>194.5</f>
        <v>194.5</v>
      </c>
      <c r="E908" s="45"/>
      <c r="F908" s="302">
        <f t="shared" si="30"/>
        <v>0</v>
      </c>
      <c r="G908" s="339"/>
    </row>
    <row r="909" spans="1:7" s="278" customFormat="1">
      <c r="A909" s="336"/>
      <c r="B909" s="361" t="s">
        <v>188</v>
      </c>
      <c r="C909" s="285" t="s">
        <v>26</v>
      </c>
      <c r="D909" s="301">
        <v>89</v>
      </c>
      <c r="E909" s="45"/>
      <c r="F909" s="302">
        <f t="shared" si="30"/>
        <v>0</v>
      </c>
      <c r="G909" s="339"/>
    </row>
    <row r="910" spans="1:7" s="278" customFormat="1">
      <c r="A910" s="336"/>
      <c r="B910" s="361"/>
      <c r="C910" s="318"/>
      <c r="D910" s="318"/>
      <c r="E910" s="45"/>
      <c r="F910" s="302">
        <f t="shared" si="30"/>
        <v>0</v>
      </c>
      <c r="G910" s="339"/>
    </row>
    <row r="911" spans="1:7" s="278" customFormat="1">
      <c r="A911" s="480">
        <f>IF(B911&gt;0,MAX(A893:A910)+1,"")</f>
        <v>4</v>
      </c>
      <c r="B911" s="386" t="s">
        <v>2035</v>
      </c>
      <c r="C911" s="285"/>
      <c r="D911" s="318"/>
      <c r="E911" s="45"/>
      <c r="F911" s="302">
        <f t="shared" si="30"/>
        <v>0</v>
      </c>
      <c r="G911" s="339"/>
    </row>
    <row r="912" spans="1:7" s="278" customFormat="1" ht="89.25">
      <c r="A912" s="336"/>
      <c r="B912" s="406" t="s">
        <v>2036</v>
      </c>
      <c r="C912" s="285"/>
      <c r="D912" s="318"/>
      <c r="E912" s="45"/>
      <c r="F912" s="302">
        <f t="shared" si="30"/>
        <v>0</v>
      </c>
      <c r="G912" s="359"/>
    </row>
    <row r="913" spans="1:7" s="278" customFormat="1" ht="38.25">
      <c r="A913" s="336"/>
      <c r="B913" s="361" t="s">
        <v>33</v>
      </c>
      <c r="C913" s="285"/>
      <c r="D913" s="318"/>
      <c r="E913" s="45"/>
      <c r="F913" s="302">
        <f t="shared" si="30"/>
        <v>0</v>
      </c>
      <c r="G913" s="359"/>
    </row>
    <row r="914" spans="1:7" s="278" customFormat="1">
      <c r="A914" s="336"/>
      <c r="B914" s="304" t="s">
        <v>373</v>
      </c>
      <c r="C914" s="285"/>
      <c r="D914" s="318"/>
      <c r="E914" s="45"/>
      <c r="F914" s="302">
        <f t="shared" si="30"/>
        <v>0</v>
      </c>
      <c r="G914" s="339"/>
    </row>
    <row r="915" spans="1:7" s="278" customFormat="1">
      <c r="A915" s="336"/>
      <c r="B915" s="361" t="s">
        <v>254</v>
      </c>
      <c r="C915" s="285" t="s">
        <v>34</v>
      </c>
      <c r="D915" s="301">
        <v>4</v>
      </c>
      <c r="E915" s="45"/>
      <c r="F915" s="302">
        <f t="shared" si="30"/>
        <v>0</v>
      </c>
      <c r="G915" s="339"/>
    </row>
    <row r="916" spans="1:7" s="278" customFormat="1">
      <c r="A916" s="336"/>
      <c r="B916" s="361"/>
      <c r="C916" s="318"/>
      <c r="D916" s="318"/>
      <c r="E916" s="45"/>
      <c r="F916" s="302">
        <f t="shared" si="30"/>
        <v>0</v>
      </c>
      <c r="G916" s="339"/>
    </row>
    <row r="917" spans="1:7" s="278" customFormat="1">
      <c r="A917" s="480">
        <f>IF(B917&gt;0,MAX(A910:A916)+1,"")</f>
        <v>5</v>
      </c>
      <c r="B917" s="386" t="s">
        <v>2037</v>
      </c>
      <c r="C917" s="285"/>
      <c r="D917" s="318"/>
      <c r="E917" s="45"/>
      <c r="F917" s="302">
        <f t="shared" si="30"/>
        <v>0</v>
      </c>
      <c r="G917" s="339"/>
    </row>
    <row r="918" spans="1:7" s="278" customFormat="1" ht="153">
      <c r="A918" s="336"/>
      <c r="B918" s="406" t="s">
        <v>2038</v>
      </c>
      <c r="C918" s="285"/>
      <c r="D918" s="318"/>
      <c r="E918" s="45"/>
      <c r="F918" s="302">
        <f t="shared" si="30"/>
        <v>0</v>
      </c>
      <c r="G918" s="339"/>
    </row>
    <row r="919" spans="1:7" s="278" customFormat="1" ht="38.25">
      <c r="A919" s="336"/>
      <c r="B919" s="361" t="s">
        <v>33</v>
      </c>
      <c r="C919" s="285"/>
      <c r="D919" s="318"/>
      <c r="E919" s="45"/>
      <c r="F919" s="302">
        <f t="shared" si="30"/>
        <v>0</v>
      </c>
      <c r="G919" s="339"/>
    </row>
    <row r="920" spans="1:7" s="278" customFormat="1">
      <c r="A920" s="336"/>
      <c r="B920" s="304" t="s">
        <v>373</v>
      </c>
      <c r="C920" s="285"/>
      <c r="D920" s="318"/>
      <c r="E920" s="45"/>
      <c r="F920" s="302">
        <f t="shared" si="30"/>
        <v>0</v>
      </c>
      <c r="G920" s="339"/>
    </row>
    <row r="921" spans="1:7" s="278" customFormat="1">
      <c r="A921" s="336"/>
      <c r="B921" s="361" t="s">
        <v>28</v>
      </c>
      <c r="C921" s="285" t="s">
        <v>27</v>
      </c>
      <c r="D921" s="301">
        <v>44</v>
      </c>
      <c r="E921" s="45"/>
      <c r="F921" s="302">
        <f t="shared" si="30"/>
        <v>0</v>
      </c>
      <c r="G921" s="339"/>
    </row>
    <row r="922" spans="1:7" s="278" customFormat="1">
      <c r="A922" s="336"/>
      <c r="B922" s="361"/>
      <c r="C922" s="318"/>
      <c r="D922" s="318"/>
      <c r="E922" s="45"/>
      <c r="F922" s="302">
        <f t="shared" si="30"/>
        <v>0</v>
      </c>
      <c r="G922" s="339"/>
    </row>
    <row r="923" spans="1:7" s="278" customFormat="1">
      <c r="A923" s="480">
        <f>IF(B923&gt;0,MAX(A916:A922)+1,"")</f>
        <v>6</v>
      </c>
      <c r="B923" s="386" t="s">
        <v>2039</v>
      </c>
      <c r="C923" s="285"/>
      <c r="D923" s="318"/>
      <c r="E923" s="45"/>
      <c r="F923" s="302">
        <f t="shared" si="30"/>
        <v>0</v>
      </c>
      <c r="G923" s="339"/>
    </row>
    <row r="924" spans="1:7" s="278" customFormat="1" ht="89.25">
      <c r="A924" s="336"/>
      <c r="B924" s="406" t="s">
        <v>2040</v>
      </c>
      <c r="C924" s="285"/>
      <c r="D924" s="318"/>
      <c r="E924" s="45"/>
      <c r="F924" s="302">
        <f t="shared" si="30"/>
        <v>0</v>
      </c>
      <c r="G924" s="339"/>
    </row>
    <row r="925" spans="1:7" s="278" customFormat="1" ht="38.25">
      <c r="A925" s="336"/>
      <c r="B925" s="361" t="s">
        <v>33</v>
      </c>
      <c r="C925" s="285"/>
      <c r="D925" s="318"/>
      <c r="E925" s="45"/>
      <c r="F925" s="302">
        <f t="shared" si="30"/>
        <v>0</v>
      </c>
      <c r="G925" s="359"/>
    </row>
    <row r="926" spans="1:7" s="278" customFormat="1">
      <c r="A926" s="336"/>
      <c r="B926" s="304" t="s">
        <v>373</v>
      </c>
      <c r="C926" s="285"/>
      <c r="D926" s="318"/>
      <c r="E926" s="45"/>
      <c r="F926" s="302">
        <f t="shared" si="30"/>
        <v>0</v>
      </c>
      <c r="G926" s="339"/>
    </row>
    <row r="927" spans="1:7" s="278" customFormat="1">
      <c r="A927" s="336"/>
      <c r="B927" s="361" t="s">
        <v>2041</v>
      </c>
      <c r="C927" s="285" t="s">
        <v>26</v>
      </c>
      <c r="D927" s="301">
        <v>50</v>
      </c>
      <c r="E927" s="45"/>
      <c r="F927" s="302">
        <f t="shared" si="30"/>
        <v>0</v>
      </c>
      <c r="G927" s="339"/>
    </row>
    <row r="928" spans="1:7" s="278" customFormat="1">
      <c r="A928" s="336"/>
      <c r="B928" s="361"/>
      <c r="C928" s="318"/>
      <c r="D928" s="318"/>
      <c r="E928" s="45"/>
      <c r="F928" s="302">
        <f t="shared" si="30"/>
        <v>0</v>
      </c>
      <c r="G928" s="339"/>
    </row>
    <row r="929" spans="1:7" s="278" customFormat="1">
      <c r="A929" s="336"/>
      <c r="B929" s="358" t="s">
        <v>1367</v>
      </c>
      <c r="C929" s="318"/>
      <c r="D929" s="318"/>
      <c r="E929" s="45"/>
      <c r="F929" s="302">
        <f t="shared" si="30"/>
        <v>0</v>
      </c>
      <c r="G929" s="339"/>
    </row>
    <row r="930" spans="1:7" s="278" customFormat="1">
      <c r="A930" s="336"/>
      <c r="B930" s="361"/>
      <c r="C930" s="318"/>
      <c r="D930" s="318"/>
      <c r="E930" s="45"/>
      <c r="F930" s="302">
        <f t="shared" si="30"/>
        <v>0</v>
      </c>
      <c r="G930" s="339"/>
    </row>
    <row r="931" spans="1:7" s="278" customFormat="1">
      <c r="A931" s="480">
        <f>IF(B931&gt;0,MAX(A898:A930)+1,"")</f>
        <v>7</v>
      </c>
      <c r="B931" s="386" t="s">
        <v>1368</v>
      </c>
      <c r="C931" s="285"/>
      <c r="D931" s="318"/>
      <c r="E931" s="45"/>
      <c r="F931" s="302">
        <f t="shared" si="30"/>
        <v>0</v>
      </c>
      <c r="G931" s="359"/>
    </row>
    <row r="932" spans="1:7" s="278" customFormat="1" ht="229.5">
      <c r="A932" s="336"/>
      <c r="B932" s="406" t="s">
        <v>1370</v>
      </c>
      <c r="C932" s="285"/>
      <c r="D932" s="318"/>
      <c r="E932" s="45"/>
      <c r="F932" s="302">
        <f t="shared" si="30"/>
        <v>0</v>
      </c>
      <c r="G932" s="339"/>
    </row>
    <row r="933" spans="1:7" s="278" customFormat="1" ht="38.25">
      <c r="A933" s="336"/>
      <c r="B933" s="361" t="s">
        <v>33</v>
      </c>
      <c r="C933" s="285"/>
      <c r="D933" s="318"/>
      <c r="E933" s="45"/>
      <c r="F933" s="302">
        <f t="shared" si="30"/>
        <v>0</v>
      </c>
      <c r="G933" s="339"/>
    </row>
    <row r="934" spans="1:7" s="278" customFormat="1">
      <c r="A934" s="336"/>
      <c r="B934" s="304" t="s">
        <v>1369</v>
      </c>
      <c r="C934" s="285"/>
      <c r="D934" s="318"/>
      <c r="E934" s="45"/>
      <c r="F934" s="302">
        <f t="shared" si="30"/>
        <v>0</v>
      </c>
      <c r="G934" s="339"/>
    </row>
    <row r="935" spans="1:7" s="278" customFormat="1">
      <c r="A935" s="336"/>
      <c r="B935" s="361" t="s">
        <v>28</v>
      </c>
      <c r="C935" s="285" t="s">
        <v>27</v>
      </c>
      <c r="D935" s="301">
        <v>175</v>
      </c>
      <c r="E935" s="45"/>
      <c r="F935" s="302">
        <f t="shared" si="30"/>
        <v>0</v>
      </c>
      <c r="G935" s="339"/>
    </row>
    <row r="936" spans="1:7" s="278" customFormat="1">
      <c r="A936" s="336"/>
      <c r="B936" s="361"/>
      <c r="C936" s="318"/>
      <c r="D936" s="318"/>
      <c r="E936" s="45"/>
      <c r="F936" s="302">
        <f t="shared" si="30"/>
        <v>0</v>
      </c>
      <c r="G936" s="339"/>
    </row>
    <row r="937" spans="1:7" s="278" customFormat="1">
      <c r="A937" s="480">
        <f>IF(B937&gt;0,MAX(A904:A936)+1,"")</f>
        <v>8</v>
      </c>
      <c r="B937" s="386" t="s">
        <v>1371</v>
      </c>
      <c r="C937" s="285"/>
      <c r="D937" s="318"/>
      <c r="E937" s="45"/>
      <c r="F937" s="302">
        <f t="shared" si="30"/>
        <v>0</v>
      </c>
      <c r="G937" s="359"/>
    </row>
    <row r="938" spans="1:7" s="278" customFormat="1" ht="216.75">
      <c r="A938" s="336"/>
      <c r="B938" s="406" t="s">
        <v>1372</v>
      </c>
      <c r="C938" s="285"/>
      <c r="D938" s="318"/>
      <c r="E938" s="45"/>
      <c r="F938" s="302">
        <f t="shared" si="30"/>
        <v>0</v>
      </c>
      <c r="G938" s="339"/>
    </row>
    <row r="939" spans="1:7" s="278" customFormat="1" ht="38.25">
      <c r="A939" s="336"/>
      <c r="B939" s="361" t="s">
        <v>33</v>
      </c>
      <c r="C939" s="285"/>
      <c r="D939" s="318"/>
      <c r="E939" s="45"/>
      <c r="F939" s="302">
        <f t="shared" si="30"/>
        <v>0</v>
      </c>
      <c r="G939" s="339"/>
    </row>
    <row r="940" spans="1:7" s="278" customFormat="1">
      <c r="A940" s="336"/>
      <c r="B940" s="304" t="s">
        <v>1369</v>
      </c>
      <c r="C940" s="285"/>
      <c r="D940" s="318"/>
      <c r="E940" s="45"/>
      <c r="F940" s="302">
        <f t="shared" si="30"/>
        <v>0</v>
      </c>
      <c r="G940" s="339"/>
    </row>
    <row r="941" spans="1:7" s="278" customFormat="1">
      <c r="A941" s="336"/>
      <c r="B941" s="361" t="s">
        <v>28</v>
      </c>
      <c r="C941" s="285" t="s">
        <v>27</v>
      </c>
      <c r="D941" s="301">
        <v>175</v>
      </c>
      <c r="E941" s="45"/>
      <c r="F941" s="302">
        <f t="shared" si="30"/>
        <v>0</v>
      </c>
      <c r="G941" s="339"/>
    </row>
    <row r="942" spans="1:7" s="278" customFormat="1">
      <c r="A942" s="336"/>
      <c r="B942" s="361"/>
      <c r="C942" s="318"/>
      <c r="D942" s="318"/>
      <c r="E942" s="45"/>
      <c r="F942" s="302">
        <f t="shared" si="30"/>
        <v>0</v>
      </c>
      <c r="G942" s="339"/>
    </row>
    <row r="943" spans="1:7" s="278" customFormat="1">
      <c r="A943" s="480">
        <f>IF(B943&gt;0,MAX(A910:A942)+1,"")</f>
        <v>9</v>
      </c>
      <c r="B943" s="386" t="s">
        <v>1374</v>
      </c>
      <c r="C943" s="285"/>
      <c r="D943" s="318"/>
      <c r="E943" s="45"/>
      <c r="F943" s="302">
        <f t="shared" si="30"/>
        <v>0</v>
      </c>
      <c r="G943" s="339"/>
    </row>
    <row r="944" spans="1:7" s="278" customFormat="1" ht="51">
      <c r="A944" s="336"/>
      <c r="B944" s="406" t="s">
        <v>1375</v>
      </c>
      <c r="C944" s="285"/>
      <c r="D944" s="318"/>
      <c r="E944" s="45"/>
      <c r="F944" s="302">
        <f t="shared" si="30"/>
        <v>0</v>
      </c>
      <c r="G944" s="339"/>
    </row>
    <row r="945" spans="1:7" s="278" customFormat="1" ht="89.25">
      <c r="A945" s="336"/>
      <c r="B945" s="406" t="s">
        <v>1376</v>
      </c>
      <c r="C945" s="285"/>
      <c r="D945" s="318"/>
      <c r="E945" s="45"/>
      <c r="F945" s="302">
        <f t="shared" si="30"/>
        <v>0</v>
      </c>
      <c r="G945" s="339"/>
    </row>
    <row r="946" spans="1:7" s="278" customFormat="1" ht="38.25">
      <c r="A946" s="336"/>
      <c r="B946" s="406" t="s">
        <v>2188</v>
      </c>
      <c r="C946" s="285"/>
      <c r="D946" s="318"/>
      <c r="E946" s="45"/>
      <c r="F946" s="302">
        <f t="shared" si="30"/>
        <v>0</v>
      </c>
      <c r="G946" s="339"/>
    </row>
    <row r="947" spans="1:7" s="278" customFormat="1" ht="38.25">
      <c r="A947" s="336"/>
      <c r="B947" s="361" t="s">
        <v>33</v>
      </c>
      <c r="C947" s="285"/>
      <c r="D947" s="318"/>
      <c r="E947" s="45"/>
      <c r="F947" s="302">
        <f t="shared" si="30"/>
        <v>0</v>
      </c>
      <c r="G947" s="339"/>
    </row>
    <row r="948" spans="1:7" s="278" customFormat="1">
      <c r="A948" s="336"/>
      <c r="B948" s="304" t="s">
        <v>1369</v>
      </c>
      <c r="C948" s="285"/>
      <c r="D948" s="318"/>
      <c r="E948" s="45"/>
      <c r="F948" s="302">
        <f t="shared" si="30"/>
        <v>0</v>
      </c>
      <c r="G948" s="339"/>
    </row>
    <row r="949" spans="1:7" s="278" customFormat="1">
      <c r="A949" s="336"/>
      <c r="B949" s="361" t="s">
        <v>28</v>
      </c>
      <c r="C949" s="285" t="s">
        <v>27</v>
      </c>
      <c r="D949" s="301">
        <v>175</v>
      </c>
      <c r="E949" s="45"/>
      <c r="F949" s="302">
        <f t="shared" si="30"/>
        <v>0</v>
      </c>
      <c r="G949" s="339"/>
    </row>
    <row r="950" spans="1:7" s="278" customFormat="1">
      <c r="A950" s="336"/>
      <c r="B950" s="361"/>
      <c r="C950" s="318"/>
      <c r="D950" s="318"/>
      <c r="E950" s="45"/>
      <c r="F950" s="302">
        <f t="shared" si="30"/>
        <v>0</v>
      </c>
      <c r="G950" s="339"/>
    </row>
    <row r="951" spans="1:7" s="278" customFormat="1">
      <c r="A951" s="480">
        <f>IF(B951&gt;0,MAX(A936:A950)+1,"")</f>
        <v>10</v>
      </c>
      <c r="B951" s="386" t="s">
        <v>1377</v>
      </c>
      <c r="C951" s="285"/>
      <c r="D951" s="318"/>
      <c r="E951" s="45"/>
      <c r="F951" s="302">
        <f t="shared" si="30"/>
        <v>0</v>
      </c>
      <c r="G951" s="339"/>
    </row>
    <row r="952" spans="1:7" s="278" customFormat="1" ht="51">
      <c r="A952" s="336"/>
      <c r="B952" s="406" t="s">
        <v>1378</v>
      </c>
      <c r="C952" s="285"/>
      <c r="D952" s="318"/>
      <c r="E952" s="45"/>
      <c r="F952" s="302">
        <f t="shared" si="30"/>
        <v>0</v>
      </c>
      <c r="G952" s="339"/>
    </row>
    <row r="953" spans="1:7" s="278" customFormat="1" ht="38.25">
      <c r="A953" s="336"/>
      <c r="B953" s="406" t="s">
        <v>1379</v>
      </c>
      <c r="C953" s="285"/>
      <c r="D953" s="318"/>
      <c r="E953" s="45"/>
      <c r="F953" s="302">
        <f t="shared" si="30"/>
        <v>0</v>
      </c>
      <c r="G953" s="339"/>
    </row>
    <row r="954" spans="1:7" s="278" customFormat="1" ht="51">
      <c r="A954" s="336"/>
      <c r="B954" s="406" t="s">
        <v>1380</v>
      </c>
      <c r="C954" s="285"/>
      <c r="D954" s="318"/>
      <c r="E954" s="45"/>
      <c r="F954" s="302">
        <f t="shared" si="30"/>
        <v>0</v>
      </c>
      <c r="G954" s="339"/>
    </row>
    <row r="955" spans="1:7" s="278" customFormat="1" ht="38.25">
      <c r="A955" s="336"/>
      <c r="B955" s="361" t="s">
        <v>33</v>
      </c>
      <c r="C955" s="285"/>
      <c r="D955" s="318"/>
      <c r="E955" s="45"/>
      <c r="F955" s="302">
        <f t="shared" ref="F955:F1018" si="31">E955*D955</f>
        <v>0</v>
      </c>
      <c r="G955" s="339"/>
    </row>
    <row r="956" spans="1:7" s="278" customFormat="1">
      <c r="A956" s="336"/>
      <c r="B956" s="304" t="s">
        <v>1369</v>
      </c>
      <c r="C956" s="285"/>
      <c r="D956" s="318"/>
      <c r="E956" s="45"/>
      <c r="F956" s="302">
        <f t="shared" si="31"/>
        <v>0</v>
      </c>
      <c r="G956" s="339"/>
    </row>
    <row r="957" spans="1:7" s="278" customFormat="1">
      <c r="A957" s="336"/>
      <c r="B957" s="361" t="s">
        <v>1381</v>
      </c>
      <c r="C957" s="285" t="s">
        <v>26</v>
      </c>
      <c r="D957" s="301">
        <v>101</v>
      </c>
      <c r="E957" s="45"/>
      <c r="F957" s="302">
        <f t="shared" si="31"/>
        <v>0</v>
      </c>
      <c r="G957" s="339"/>
    </row>
    <row r="958" spans="1:7" s="278" customFormat="1">
      <c r="A958" s="336"/>
      <c r="B958" s="361"/>
      <c r="C958" s="318"/>
      <c r="D958" s="318"/>
      <c r="E958" s="45"/>
      <c r="F958" s="302">
        <f t="shared" si="31"/>
        <v>0</v>
      </c>
      <c r="G958" s="339"/>
    </row>
    <row r="959" spans="1:7" s="278" customFormat="1">
      <c r="A959" s="480">
        <f>IF(B959&gt;0,MAX(A944:A958)+1,"")</f>
        <v>11</v>
      </c>
      <c r="B959" s="392" t="s">
        <v>288</v>
      </c>
      <c r="C959" s="318"/>
      <c r="D959" s="318"/>
      <c r="E959" s="45"/>
      <c r="F959" s="302">
        <f t="shared" si="31"/>
        <v>0</v>
      </c>
      <c r="G959" s="339"/>
    </row>
    <row r="960" spans="1:7" s="278" customFormat="1" ht="51">
      <c r="A960" s="336"/>
      <c r="B960" s="361" t="s">
        <v>289</v>
      </c>
      <c r="C960" s="318"/>
      <c r="D960" s="318"/>
      <c r="E960" s="45"/>
      <c r="F960" s="302">
        <f t="shared" si="31"/>
        <v>0</v>
      </c>
      <c r="G960" s="339"/>
    </row>
    <row r="961" spans="1:7" s="278" customFormat="1" ht="25.5">
      <c r="A961" s="336"/>
      <c r="B961" s="361" t="s">
        <v>31</v>
      </c>
      <c r="C961" s="318"/>
      <c r="D961" s="318"/>
      <c r="E961" s="45"/>
      <c r="F961" s="302">
        <f t="shared" si="31"/>
        <v>0</v>
      </c>
      <c r="G961" s="339"/>
    </row>
    <row r="962" spans="1:7" s="278" customFormat="1">
      <c r="A962" s="336"/>
      <c r="B962" s="304" t="s">
        <v>279</v>
      </c>
      <c r="C962" s="317"/>
      <c r="D962" s="318"/>
      <c r="E962" s="45"/>
      <c r="F962" s="302">
        <f t="shared" si="31"/>
        <v>0</v>
      </c>
      <c r="G962" s="339"/>
    </row>
    <row r="963" spans="1:7" s="278" customFormat="1">
      <c r="A963" s="336"/>
      <c r="B963" s="361" t="s">
        <v>30</v>
      </c>
      <c r="C963" s="285" t="s">
        <v>27</v>
      </c>
      <c r="D963" s="301">
        <v>19.3</v>
      </c>
      <c r="E963" s="45"/>
      <c r="F963" s="302">
        <f t="shared" si="31"/>
        <v>0</v>
      </c>
      <c r="G963" s="339"/>
    </row>
    <row r="964" spans="1:7" s="278" customFormat="1">
      <c r="A964" s="336"/>
      <c r="B964" s="361"/>
      <c r="C964" s="285"/>
      <c r="D964" s="318"/>
      <c r="E964" s="45"/>
      <c r="F964" s="302">
        <f t="shared" si="31"/>
        <v>0</v>
      </c>
      <c r="G964" s="339"/>
    </row>
    <row r="965" spans="1:7" s="278" customFormat="1">
      <c r="A965" s="480">
        <f>IF(B965&gt;0,MAX(A950:A964)+1,"")</f>
        <v>12</v>
      </c>
      <c r="B965" s="392" t="s">
        <v>204</v>
      </c>
      <c r="C965" s="318"/>
      <c r="D965" s="318"/>
      <c r="E965" s="45"/>
      <c r="F965" s="302">
        <f t="shared" si="31"/>
        <v>0</v>
      </c>
      <c r="G965" s="339"/>
    </row>
    <row r="966" spans="1:7" s="278" customFormat="1" ht="229.5">
      <c r="A966" s="336"/>
      <c r="B966" s="361" t="s">
        <v>2042</v>
      </c>
      <c r="C966" s="318"/>
      <c r="D966" s="318"/>
      <c r="E966" s="45"/>
      <c r="F966" s="302">
        <f t="shared" si="31"/>
        <v>0</v>
      </c>
      <c r="G966" s="339"/>
    </row>
    <row r="967" spans="1:7" s="278" customFormat="1" ht="25.5">
      <c r="A967" s="336"/>
      <c r="B967" s="361" t="s">
        <v>31</v>
      </c>
      <c r="C967" s="318"/>
      <c r="D967" s="318"/>
      <c r="E967" s="45"/>
      <c r="F967" s="302">
        <f t="shared" si="31"/>
        <v>0</v>
      </c>
      <c r="G967" s="339"/>
    </row>
    <row r="968" spans="1:7" s="278" customFormat="1">
      <c r="A968" s="336"/>
      <c r="B968" s="304" t="s">
        <v>366</v>
      </c>
      <c r="C968" s="317"/>
      <c r="D968" s="318"/>
      <c r="E968" s="45"/>
      <c r="F968" s="302">
        <f t="shared" si="31"/>
        <v>0</v>
      </c>
      <c r="G968" s="339"/>
    </row>
    <row r="969" spans="1:7" s="278" customFormat="1">
      <c r="A969" s="336"/>
      <c r="B969" s="361" t="s">
        <v>30</v>
      </c>
      <c r="C969" s="285" t="s">
        <v>27</v>
      </c>
      <c r="D969" s="301">
        <f>17+11.7+7.7+11.6+19.9+24.2</f>
        <v>92.1</v>
      </c>
      <c r="E969" s="45"/>
      <c r="F969" s="302">
        <f t="shared" si="31"/>
        <v>0</v>
      </c>
      <c r="G969" s="339"/>
    </row>
    <row r="970" spans="1:7" s="278" customFormat="1">
      <c r="A970" s="336"/>
      <c r="B970" s="361"/>
      <c r="C970" s="285"/>
      <c r="D970" s="301"/>
      <c r="E970" s="45"/>
      <c r="F970" s="302">
        <f t="shared" si="31"/>
        <v>0</v>
      </c>
      <c r="G970" s="339"/>
    </row>
    <row r="971" spans="1:7" s="278" customFormat="1">
      <c r="A971" s="336"/>
      <c r="B971" s="481" t="s">
        <v>419</v>
      </c>
      <c r="C971" s="285"/>
      <c r="D971" s="301"/>
      <c r="E971" s="45"/>
      <c r="F971" s="302">
        <f t="shared" si="31"/>
        <v>0</v>
      </c>
      <c r="G971" s="339"/>
    </row>
    <row r="972" spans="1:7" s="278" customFormat="1">
      <c r="A972" s="336"/>
      <c r="B972" s="361"/>
      <c r="C972" s="285"/>
      <c r="D972" s="301"/>
      <c r="E972" s="45"/>
      <c r="F972" s="302">
        <f t="shared" si="31"/>
        <v>0</v>
      </c>
      <c r="G972" s="339"/>
    </row>
    <row r="973" spans="1:7" s="278" customFormat="1">
      <c r="A973" s="480">
        <f>IF(B973&gt;0,MAX(A958:A972)+1,"")</f>
        <v>13</v>
      </c>
      <c r="B973" s="358" t="s">
        <v>488</v>
      </c>
      <c r="C973" s="285"/>
      <c r="D973" s="301"/>
      <c r="E973" s="45"/>
      <c r="F973" s="302">
        <f t="shared" si="31"/>
        <v>0</v>
      </c>
      <c r="G973" s="339"/>
    </row>
    <row r="974" spans="1:7" s="278" customFormat="1" ht="216.75">
      <c r="A974" s="336"/>
      <c r="B974" s="361" t="s">
        <v>5507</v>
      </c>
      <c r="C974" s="285"/>
      <c r="D974" s="301"/>
      <c r="E974" s="45"/>
      <c r="F974" s="302">
        <f t="shared" si="31"/>
        <v>0</v>
      </c>
      <c r="G974" s="339"/>
    </row>
    <row r="975" spans="1:7" s="278" customFormat="1" ht="38.25">
      <c r="A975" s="336"/>
      <c r="B975" s="361" t="s">
        <v>420</v>
      </c>
      <c r="C975" s="285"/>
      <c r="D975" s="301"/>
      <c r="E975" s="45"/>
      <c r="F975" s="302">
        <f t="shared" si="31"/>
        <v>0</v>
      </c>
      <c r="G975" s="339"/>
    </row>
    <row r="976" spans="1:7" s="278" customFormat="1">
      <c r="A976" s="336"/>
      <c r="B976" s="361" t="s">
        <v>4576</v>
      </c>
      <c r="C976" s="285"/>
      <c r="D976" s="301"/>
      <c r="E976" s="45"/>
      <c r="F976" s="302">
        <f t="shared" si="31"/>
        <v>0</v>
      </c>
      <c r="G976" s="339"/>
    </row>
    <row r="977" spans="1:7" s="278" customFormat="1">
      <c r="A977" s="336"/>
      <c r="B977" s="361" t="s">
        <v>421</v>
      </c>
      <c r="C977" s="285" t="s">
        <v>27</v>
      </c>
      <c r="D977" s="301">
        <f>662.9+93.8+86.7+126.2+19</f>
        <v>988.6</v>
      </c>
      <c r="E977" s="45"/>
      <c r="F977" s="302">
        <f t="shared" si="31"/>
        <v>0</v>
      </c>
      <c r="G977" s="339"/>
    </row>
    <row r="978" spans="1:7" s="278" customFormat="1">
      <c r="A978" s="336"/>
      <c r="B978" s="361"/>
      <c r="C978" s="285"/>
      <c r="D978" s="301"/>
      <c r="E978" s="45"/>
      <c r="F978" s="302">
        <f t="shared" si="31"/>
        <v>0</v>
      </c>
      <c r="G978" s="339"/>
    </row>
    <row r="979" spans="1:7" s="278" customFormat="1">
      <c r="A979" s="480">
        <f>IF(B979&gt;0,MAX(A964:A978)+1,"")</f>
        <v>14</v>
      </c>
      <c r="B979" s="358" t="s">
        <v>422</v>
      </c>
      <c r="C979" s="285"/>
      <c r="D979" s="301"/>
      <c r="E979" s="45"/>
      <c r="F979" s="302">
        <f t="shared" si="31"/>
        <v>0</v>
      </c>
      <c r="G979" s="339"/>
    </row>
    <row r="980" spans="1:7" s="278" customFormat="1" ht="140.25">
      <c r="A980" s="336"/>
      <c r="B980" s="361" t="s">
        <v>425</v>
      </c>
      <c r="C980" s="285"/>
      <c r="D980" s="301"/>
      <c r="E980" s="45"/>
      <c r="F980" s="302">
        <f t="shared" si="31"/>
        <v>0</v>
      </c>
      <c r="G980" s="339"/>
    </row>
    <row r="981" spans="1:7" s="278" customFormat="1">
      <c r="A981" s="336"/>
      <c r="B981" s="361" t="s">
        <v>4577</v>
      </c>
      <c r="C981" s="285"/>
      <c r="D981" s="301"/>
      <c r="E981" s="45"/>
      <c r="F981" s="302">
        <f t="shared" si="31"/>
        <v>0</v>
      </c>
      <c r="G981" s="339"/>
    </row>
    <row r="982" spans="1:7" s="278" customFormat="1">
      <c r="A982" s="336"/>
      <c r="B982" s="361" t="s">
        <v>93</v>
      </c>
      <c r="C982" s="285" t="s">
        <v>27</v>
      </c>
      <c r="D982" s="301">
        <v>662.9</v>
      </c>
      <c r="E982" s="45"/>
      <c r="F982" s="302">
        <f t="shared" si="31"/>
        <v>0</v>
      </c>
      <c r="G982" s="339"/>
    </row>
    <row r="983" spans="1:7" s="278" customFormat="1">
      <c r="A983" s="336"/>
      <c r="B983" s="361"/>
      <c r="C983" s="285"/>
      <c r="D983" s="301"/>
      <c r="E983" s="45"/>
      <c r="F983" s="302">
        <f t="shared" si="31"/>
        <v>0</v>
      </c>
      <c r="G983" s="339"/>
    </row>
    <row r="984" spans="1:7" s="278" customFormat="1">
      <c r="A984" s="480">
        <f>IF(B984&gt;0,MAX(A969:A983)+1,"")</f>
        <v>15</v>
      </c>
      <c r="B984" s="358" t="s">
        <v>426</v>
      </c>
      <c r="C984" s="285"/>
      <c r="D984" s="301"/>
      <c r="E984" s="45"/>
      <c r="F984" s="302">
        <f t="shared" si="31"/>
        <v>0</v>
      </c>
      <c r="G984" s="339"/>
    </row>
    <row r="985" spans="1:7" s="278" customFormat="1" ht="127.5">
      <c r="A985" s="336"/>
      <c r="B985" s="361" t="s">
        <v>427</v>
      </c>
      <c r="C985" s="285"/>
      <c r="D985" s="301"/>
      <c r="E985" s="45"/>
      <c r="F985" s="302">
        <f t="shared" si="31"/>
        <v>0</v>
      </c>
      <c r="G985" s="339"/>
    </row>
    <row r="986" spans="1:7" s="278" customFormat="1" ht="25.5">
      <c r="A986" s="336"/>
      <c r="B986" s="361" t="s">
        <v>428</v>
      </c>
      <c r="C986" s="285"/>
      <c r="D986" s="301"/>
      <c r="E986" s="45"/>
      <c r="F986" s="302">
        <f t="shared" si="31"/>
        <v>0</v>
      </c>
      <c r="G986" s="339"/>
    </row>
    <row r="987" spans="1:7" s="278" customFormat="1">
      <c r="A987" s="336"/>
      <c r="B987" s="361" t="s">
        <v>128</v>
      </c>
      <c r="C987" s="285" t="s">
        <v>26</v>
      </c>
      <c r="D987" s="301">
        <v>18</v>
      </c>
      <c r="E987" s="45"/>
      <c r="F987" s="302">
        <f t="shared" si="31"/>
        <v>0</v>
      </c>
      <c r="G987" s="339"/>
    </row>
    <row r="988" spans="1:7" s="278" customFormat="1">
      <c r="A988" s="336"/>
      <c r="B988" s="361"/>
      <c r="C988" s="285"/>
      <c r="D988" s="301"/>
      <c r="E988" s="45"/>
      <c r="F988" s="302">
        <f t="shared" si="31"/>
        <v>0</v>
      </c>
      <c r="G988" s="339"/>
    </row>
    <row r="989" spans="1:7" s="278" customFormat="1">
      <c r="A989" s="480">
        <f>IF(B989&gt;0,MAX(A975:A988)+1,"")</f>
        <v>16</v>
      </c>
      <c r="B989" s="358" t="s">
        <v>429</v>
      </c>
      <c r="C989" s="285"/>
      <c r="D989" s="301"/>
      <c r="E989" s="45"/>
      <c r="F989" s="302">
        <f t="shared" si="31"/>
        <v>0</v>
      </c>
      <c r="G989" s="339"/>
    </row>
    <row r="990" spans="1:7" s="278" customFormat="1" ht="114.75">
      <c r="A990" s="336"/>
      <c r="B990" s="361" t="s">
        <v>430</v>
      </c>
      <c r="C990" s="285"/>
      <c r="D990" s="301"/>
      <c r="E990" s="45"/>
      <c r="F990" s="302">
        <f t="shared" si="31"/>
        <v>0</v>
      </c>
      <c r="G990" s="339"/>
    </row>
    <row r="991" spans="1:7" s="278" customFormat="1" ht="63.75">
      <c r="A991" s="336"/>
      <c r="B991" s="361" t="s">
        <v>432</v>
      </c>
      <c r="C991" s="285"/>
      <c r="D991" s="301"/>
      <c r="E991" s="45"/>
      <c r="F991" s="302">
        <f t="shared" si="31"/>
        <v>0</v>
      </c>
      <c r="G991" s="339"/>
    </row>
    <row r="992" spans="1:7" s="278" customFormat="1" ht="38.25">
      <c r="A992" s="336"/>
      <c r="B992" s="361" t="s">
        <v>431</v>
      </c>
      <c r="C992" s="285"/>
      <c r="D992" s="301"/>
      <c r="E992" s="45"/>
      <c r="F992" s="302">
        <f t="shared" si="31"/>
        <v>0</v>
      </c>
      <c r="G992" s="339"/>
    </row>
    <row r="993" spans="1:7" s="278" customFormat="1">
      <c r="A993" s="336"/>
      <c r="B993" s="361" t="s">
        <v>1947</v>
      </c>
      <c r="C993" s="285" t="s">
        <v>27</v>
      </c>
      <c r="D993" s="318">
        <v>57.9</v>
      </c>
      <c r="E993" s="45"/>
      <c r="F993" s="302">
        <f t="shared" si="31"/>
        <v>0</v>
      </c>
      <c r="G993" s="339"/>
    </row>
    <row r="994" spans="1:7" s="278" customFormat="1">
      <c r="A994" s="336"/>
      <c r="B994" s="361"/>
      <c r="C994" s="285"/>
      <c r="D994" s="318"/>
      <c r="E994" s="45"/>
      <c r="F994" s="302">
        <f t="shared" si="31"/>
        <v>0</v>
      </c>
      <c r="G994" s="339"/>
    </row>
    <row r="995" spans="1:7" s="278" customFormat="1">
      <c r="A995" s="480">
        <f>IF(B995&gt;0,MAX(A982:A994)+1,"")</f>
        <v>17</v>
      </c>
      <c r="B995" s="358" t="s">
        <v>434</v>
      </c>
      <c r="C995" s="285"/>
      <c r="D995" s="318"/>
      <c r="E995" s="45"/>
      <c r="F995" s="302">
        <f t="shared" si="31"/>
        <v>0</v>
      </c>
      <c r="G995" s="339"/>
    </row>
    <row r="996" spans="1:7" s="278" customFormat="1" ht="63.75">
      <c r="A996" s="336"/>
      <c r="B996" s="361" t="s">
        <v>433</v>
      </c>
      <c r="C996" s="285"/>
      <c r="D996" s="318"/>
      <c r="E996" s="45"/>
      <c r="F996" s="302">
        <f t="shared" si="31"/>
        <v>0</v>
      </c>
      <c r="G996" s="339"/>
    </row>
    <row r="997" spans="1:7" s="278" customFormat="1">
      <c r="A997" s="336"/>
      <c r="B997" s="361" t="s">
        <v>179</v>
      </c>
      <c r="C997" s="285" t="s">
        <v>34</v>
      </c>
      <c r="D997" s="318">
        <v>8</v>
      </c>
      <c r="E997" s="45"/>
      <c r="F997" s="302">
        <f t="shared" si="31"/>
        <v>0</v>
      </c>
      <c r="G997" s="339"/>
    </row>
    <row r="998" spans="1:7" s="278" customFormat="1">
      <c r="A998" s="336"/>
      <c r="B998" s="361"/>
      <c r="C998" s="285"/>
      <c r="D998" s="318"/>
      <c r="E998" s="45"/>
      <c r="F998" s="302">
        <f t="shared" si="31"/>
        <v>0</v>
      </c>
      <c r="G998" s="339"/>
    </row>
    <row r="999" spans="1:7" s="278" customFormat="1">
      <c r="A999" s="480">
        <f>IF(B999&gt;0,MAX(A987:A998)+1,"")</f>
        <v>18</v>
      </c>
      <c r="B999" s="358" t="s">
        <v>490</v>
      </c>
      <c r="C999" s="285"/>
      <c r="D999" s="318"/>
      <c r="E999" s="45"/>
      <c r="F999" s="302">
        <f t="shared" si="31"/>
        <v>0</v>
      </c>
      <c r="G999" s="339"/>
    </row>
    <row r="1000" spans="1:7" s="278" customFormat="1" ht="140.25">
      <c r="A1000" s="336"/>
      <c r="B1000" s="361" t="s">
        <v>492</v>
      </c>
      <c r="C1000" s="285"/>
      <c r="D1000" s="318"/>
      <c r="E1000" s="45"/>
      <c r="F1000" s="302">
        <f t="shared" si="31"/>
        <v>0</v>
      </c>
      <c r="G1000" s="339"/>
    </row>
    <row r="1001" spans="1:7" s="278" customFormat="1" ht="38.25">
      <c r="A1001" s="336"/>
      <c r="B1001" s="361" t="s">
        <v>493</v>
      </c>
      <c r="C1001" s="285"/>
      <c r="D1001" s="318"/>
      <c r="E1001" s="45"/>
      <c r="F1001" s="302">
        <f t="shared" si="31"/>
        <v>0</v>
      </c>
      <c r="G1001" s="339"/>
    </row>
    <row r="1002" spans="1:7" s="278" customFormat="1">
      <c r="A1002" s="336"/>
      <c r="B1002" s="361" t="s">
        <v>494</v>
      </c>
      <c r="C1002" s="285"/>
      <c r="D1002" s="318"/>
      <c r="E1002" s="45"/>
      <c r="F1002" s="302">
        <f t="shared" si="31"/>
        <v>0</v>
      </c>
      <c r="G1002" s="339"/>
    </row>
    <row r="1003" spans="1:7" s="278" customFormat="1">
      <c r="A1003" s="336"/>
      <c r="B1003" s="361" t="s">
        <v>28</v>
      </c>
      <c r="C1003" s="285" t="s">
        <v>27</v>
      </c>
      <c r="D1003" s="318">
        <f>93.8+126.2</f>
        <v>220</v>
      </c>
      <c r="E1003" s="45"/>
      <c r="F1003" s="302">
        <f t="shared" si="31"/>
        <v>0</v>
      </c>
      <c r="G1003" s="339"/>
    </row>
    <row r="1004" spans="1:7" s="278" customFormat="1">
      <c r="A1004" s="336"/>
      <c r="B1004" s="361"/>
      <c r="C1004" s="285"/>
      <c r="D1004" s="318"/>
      <c r="E1004" s="45"/>
      <c r="F1004" s="302">
        <f t="shared" si="31"/>
        <v>0</v>
      </c>
      <c r="G1004" s="339"/>
    </row>
    <row r="1005" spans="1:7" s="278" customFormat="1">
      <c r="A1005" s="480">
        <f>IF(B1005&gt;0,MAX(A992:A1004)+1,"")</f>
        <v>19</v>
      </c>
      <c r="B1005" s="358" t="s">
        <v>495</v>
      </c>
      <c r="C1005" s="285"/>
      <c r="D1005" s="318"/>
      <c r="E1005" s="45"/>
      <c r="F1005" s="302">
        <f t="shared" si="31"/>
        <v>0</v>
      </c>
      <c r="G1005" s="339"/>
    </row>
    <row r="1006" spans="1:7" s="278" customFormat="1" ht="140.25">
      <c r="A1006" s="336"/>
      <c r="B1006" s="361" t="s">
        <v>492</v>
      </c>
      <c r="C1006" s="285"/>
      <c r="D1006" s="318"/>
      <c r="E1006" s="45"/>
      <c r="F1006" s="302">
        <f t="shared" si="31"/>
        <v>0</v>
      </c>
      <c r="G1006" s="339"/>
    </row>
    <row r="1007" spans="1:7" s="278" customFormat="1" ht="38.25">
      <c r="A1007" s="336"/>
      <c r="B1007" s="361" t="s">
        <v>493</v>
      </c>
      <c r="C1007" s="285"/>
      <c r="D1007" s="318"/>
      <c r="E1007" s="45"/>
      <c r="F1007" s="302">
        <f t="shared" si="31"/>
        <v>0</v>
      </c>
      <c r="G1007" s="339"/>
    </row>
    <row r="1008" spans="1:7" s="278" customFormat="1">
      <c r="A1008" s="336"/>
      <c r="B1008" s="361" t="s">
        <v>496</v>
      </c>
      <c r="C1008" s="285"/>
      <c r="D1008" s="318"/>
      <c r="E1008" s="45"/>
      <c r="F1008" s="302">
        <f t="shared" si="31"/>
        <v>0</v>
      </c>
      <c r="G1008" s="364"/>
    </row>
    <row r="1009" spans="1:7" s="278" customFormat="1">
      <c r="A1009" s="336"/>
      <c r="B1009" s="361" t="s">
        <v>28</v>
      </c>
      <c r="C1009" s="285" t="s">
        <v>27</v>
      </c>
      <c r="D1009" s="318">
        <f>86.7+19</f>
        <v>105.7</v>
      </c>
      <c r="E1009" s="45"/>
      <c r="F1009" s="302">
        <f t="shared" si="31"/>
        <v>0</v>
      </c>
      <c r="G1009" s="339"/>
    </row>
    <row r="1010" spans="1:7" s="278" customFormat="1">
      <c r="A1010" s="336"/>
      <c r="B1010" s="361"/>
      <c r="C1010" s="285"/>
      <c r="D1010" s="318"/>
      <c r="E1010" s="45"/>
      <c r="F1010" s="302">
        <f t="shared" si="31"/>
        <v>0</v>
      </c>
      <c r="G1010" s="339"/>
    </row>
    <row r="1011" spans="1:7" s="278" customFormat="1">
      <c r="A1011" s="344"/>
      <c r="B1011" s="386" t="s">
        <v>29</v>
      </c>
      <c r="C1011" s="309"/>
      <c r="D1011" s="316"/>
      <c r="E1011" s="352"/>
      <c r="F1011" s="302">
        <f t="shared" si="31"/>
        <v>0</v>
      </c>
      <c r="G1011" s="339"/>
    </row>
    <row r="1012" spans="1:7" s="278" customFormat="1">
      <c r="A1012" s="344"/>
      <c r="B1012" s="386"/>
      <c r="C1012" s="309"/>
      <c r="D1012" s="316"/>
      <c r="E1012" s="352"/>
      <c r="F1012" s="302">
        <f t="shared" si="31"/>
        <v>0</v>
      </c>
      <c r="G1012" s="364"/>
    </row>
    <row r="1013" spans="1:7" s="278" customFormat="1" ht="30">
      <c r="A1013" s="480">
        <f>IF(B1013&gt;0,MAX(A998:A1012)+1,"")</f>
        <v>20</v>
      </c>
      <c r="B1013" s="392" t="s">
        <v>470</v>
      </c>
      <c r="C1013" s="309"/>
      <c r="D1013" s="316"/>
      <c r="E1013" s="352"/>
      <c r="F1013" s="302">
        <f t="shared" si="31"/>
        <v>0</v>
      </c>
      <c r="G1013" s="339"/>
    </row>
    <row r="1014" spans="1:7" s="278" customFormat="1" ht="89.25">
      <c r="A1014" s="344"/>
      <c r="B1014" s="337" t="s">
        <v>458</v>
      </c>
      <c r="C1014" s="309"/>
      <c r="D1014" s="316"/>
      <c r="E1014" s="352"/>
      <c r="F1014" s="302">
        <f t="shared" si="31"/>
        <v>0</v>
      </c>
      <c r="G1014" s="339"/>
    </row>
    <row r="1015" spans="1:7" s="278" customFormat="1" ht="90">
      <c r="A1015" s="344"/>
      <c r="B1015" s="422" t="s">
        <v>459</v>
      </c>
      <c r="C1015" s="309"/>
      <c r="D1015" s="316"/>
      <c r="E1015" s="352"/>
      <c r="F1015" s="302">
        <f t="shared" si="31"/>
        <v>0</v>
      </c>
      <c r="G1015" s="339"/>
    </row>
    <row r="1016" spans="1:7" s="278" customFormat="1" ht="76.5">
      <c r="A1016" s="344"/>
      <c r="B1016" s="337" t="s">
        <v>460</v>
      </c>
      <c r="C1016" s="309"/>
      <c r="D1016" s="316"/>
      <c r="E1016" s="352"/>
      <c r="F1016" s="302">
        <f t="shared" si="31"/>
        <v>0</v>
      </c>
      <c r="G1016" s="339"/>
    </row>
    <row r="1017" spans="1:7" s="278" customFormat="1" ht="39">
      <c r="A1017" s="344"/>
      <c r="B1017" s="422" t="s">
        <v>461</v>
      </c>
      <c r="C1017" s="309"/>
      <c r="D1017" s="316"/>
      <c r="E1017" s="352"/>
      <c r="F1017" s="302">
        <f t="shared" si="31"/>
        <v>0</v>
      </c>
      <c r="G1017" s="339"/>
    </row>
    <row r="1018" spans="1:7" s="278" customFormat="1">
      <c r="A1018" s="344"/>
      <c r="B1018" s="422" t="s">
        <v>462</v>
      </c>
      <c r="C1018" s="309"/>
      <c r="D1018" s="316"/>
      <c r="E1018" s="352"/>
      <c r="F1018" s="302">
        <f t="shared" si="31"/>
        <v>0</v>
      </c>
      <c r="G1018" s="339"/>
    </row>
    <row r="1019" spans="1:7" s="278" customFormat="1">
      <c r="A1019" s="344"/>
      <c r="B1019" s="422" t="s">
        <v>463</v>
      </c>
      <c r="C1019" s="285"/>
      <c r="D1019" s="316"/>
      <c r="E1019" s="352"/>
      <c r="F1019" s="302">
        <f t="shared" ref="F1019:F1082" si="32">E1019*D1019</f>
        <v>0</v>
      </c>
      <c r="G1019" s="339"/>
    </row>
    <row r="1020" spans="1:7" s="278" customFormat="1">
      <c r="A1020" s="344"/>
      <c r="B1020" s="422" t="s">
        <v>452</v>
      </c>
      <c r="C1020" s="285" t="s">
        <v>27</v>
      </c>
      <c r="D1020" s="318">
        <f>256.2+216.5+412.9</f>
        <v>885.6</v>
      </c>
      <c r="E1020" s="352"/>
      <c r="F1020" s="302">
        <f t="shared" si="32"/>
        <v>0</v>
      </c>
      <c r="G1020" s="339"/>
    </row>
    <row r="1021" spans="1:7" s="278" customFormat="1">
      <c r="A1021" s="344"/>
      <c r="B1021" s="422" t="s">
        <v>464</v>
      </c>
      <c r="C1021" s="285" t="s">
        <v>27</v>
      </c>
      <c r="D1021" s="318">
        <f t="shared" ref="D1021:D1022" si="33">256.2+216.5+412.9</f>
        <v>885.6</v>
      </c>
      <c r="E1021" s="352"/>
      <c r="F1021" s="302">
        <f t="shared" si="32"/>
        <v>0</v>
      </c>
      <c r="G1021" s="339"/>
    </row>
    <row r="1022" spans="1:7" s="278" customFormat="1">
      <c r="A1022" s="344"/>
      <c r="B1022" s="422" t="s">
        <v>465</v>
      </c>
      <c r="C1022" s="285" t="s">
        <v>27</v>
      </c>
      <c r="D1022" s="318">
        <f t="shared" si="33"/>
        <v>885.6</v>
      </c>
      <c r="E1022" s="352"/>
      <c r="F1022" s="302">
        <f t="shared" si="32"/>
        <v>0</v>
      </c>
      <c r="G1022" s="339"/>
    </row>
    <row r="1023" spans="1:7" s="278" customFormat="1">
      <c r="A1023" s="344"/>
      <c r="B1023" s="482"/>
      <c r="C1023" s="309"/>
      <c r="D1023" s="316"/>
      <c r="E1023" s="352"/>
      <c r="F1023" s="302">
        <f t="shared" si="32"/>
        <v>0</v>
      </c>
      <c r="G1023" s="339"/>
    </row>
    <row r="1024" spans="1:7" ht="30">
      <c r="A1024" s="480">
        <f>IF(B1024&gt;0,MAX(A1009:A1023)+1,"")</f>
        <v>21</v>
      </c>
      <c r="B1024" s="392" t="s">
        <v>466</v>
      </c>
      <c r="C1024" s="309"/>
      <c r="F1024" s="302">
        <f t="shared" si="32"/>
        <v>0</v>
      </c>
    </row>
    <row r="1025" spans="1:6" ht="38.25">
      <c r="B1025" s="337" t="s">
        <v>467</v>
      </c>
      <c r="C1025" s="309"/>
      <c r="F1025" s="302">
        <f t="shared" si="32"/>
        <v>0</v>
      </c>
    </row>
    <row r="1026" spans="1:6" ht="90">
      <c r="B1026" s="422" t="s">
        <v>459</v>
      </c>
      <c r="C1026" s="309"/>
      <c r="F1026" s="302">
        <f t="shared" si="32"/>
        <v>0</v>
      </c>
    </row>
    <row r="1027" spans="1:6" ht="76.5">
      <c r="B1027" s="337" t="s">
        <v>460</v>
      </c>
      <c r="C1027" s="309"/>
      <c r="F1027" s="302">
        <f t="shared" si="32"/>
        <v>0</v>
      </c>
    </row>
    <row r="1028" spans="1:6" ht="39">
      <c r="B1028" s="422" t="s">
        <v>461</v>
      </c>
      <c r="C1028" s="309"/>
      <c r="F1028" s="302">
        <f t="shared" si="32"/>
        <v>0</v>
      </c>
    </row>
    <row r="1029" spans="1:6">
      <c r="B1029" s="422" t="s">
        <v>462</v>
      </c>
      <c r="C1029" s="309"/>
      <c r="F1029" s="302">
        <f t="shared" si="32"/>
        <v>0</v>
      </c>
    </row>
    <row r="1030" spans="1:6">
      <c r="B1030" s="422" t="s">
        <v>463</v>
      </c>
      <c r="C1030" s="285"/>
      <c r="F1030" s="302">
        <f t="shared" si="32"/>
        <v>0</v>
      </c>
    </row>
    <row r="1031" spans="1:6">
      <c r="B1031" s="422" t="s">
        <v>468</v>
      </c>
      <c r="C1031" s="285" t="s">
        <v>27</v>
      </c>
      <c r="D1031" s="318">
        <v>60</v>
      </c>
      <c r="F1031" s="302">
        <f t="shared" si="32"/>
        <v>0</v>
      </c>
    </row>
    <row r="1032" spans="1:6">
      <c r="B1032" s="422" t="s">
        <v>469</v>
      </c>
      <c r="C1032" s="285" t="s">
        <v>27</v>
      </c>
      <c r="D1032" s="318">
        <v>60</v>
      </c>
      <c r="F1032" s="302">
        <f t="shared" si="32"/>
        <v>0</v>
      </c>
    </row>
    <row r="1033" spans="1:6">
      <c r="B1033" s="482"/>
      <c r="C1033" s="309"/>
      <c r="F1033" s="302">
        <f t="shared" si="32"/>
        <v>0</v>
      </c>
    </row>
    <row r="1034" spans="1:6" ht="30">
      <c r="A1034" s="480">
        <f>IF(B1034&gt;0,MAX(A1019:A1033)+1,"")</f>
        <v>22</v>
      </c>
      <c r="B1034" s="392" t="s">
        <v>471</v>
      </c>
      <c r="C1034" s="309"/>
      <c r="F1034" s="302">
        <f t="shared" si="32"/>
        <v>0</v>
      </c>
    </row>
    <row r="1035" spans="1:6" ht="89.25">
      <c r="B1035" s="337" t="s">
        <v>458</v>
      </c>
      <c r="C1035" s="309"/>
      <c r="F1035" s="302">
        <f t="shared" si="32"/>
        <v>0</v>
      </c>
    </row>
    <row r="1036" spans="1:6" ht="90">
      <c r="B1036" s="422" t="s">
        <v>472</v>
      </c>
      <c r="C1036" s="309"/>
      <c r="F1036" s="302">
        <f t="shared" si="32"/>
        <v>0</v>
      </c>
    </row>
    <row r="1037" spans="1:6" ht="76.5">
      <c r="B1037" s="337" t="s">
        <v>460</v>
      </c>
      <c r="C1037" s="309"/>
      <c r="F1037" s="302">
        <f t="shared" si="32"/>
        <v>0</v>
      </c>
    </row>
    <row r="1038" spans="1:6" ht="39">
      <c r="B1038" s="422" t="s">
        <v>461</v>
      </c>
      <c r="C1038" s="309"/>
      <c r="F1038" s="302">
        <f t="shared" si="32"/>
        <v>0</v>
      </c>
    </row>
    <row r="1039" spans="1:6">
      <c r="B1039" s="422" t="s">
        <v>474</v>
      </c>
      <c r="C1039" s="309"/>
      <c r="F1039" s="302">
        <f t="shared" si="32"/>
        <v>0</v>
      </c>
    </row>
    <row r="1040" spans="1:6">
      <c r="B1040" s="422" t="s">
        <v>463</v>
      </c>
      <c r="C1040" s="285"/>
      <c r="F1040" s="302">
        <f t="shared" si="32"/>
        <v>0</v>
      </c>
    </row>
    <row r="1041" spans="1:6">
      <c r="B1041" s="422" t="s">
        <v>452</v>
      </c>
      <c r="C1041" s="285" t="s">
        <v>27</v>
      </c>
      <c r="D1041" s="318">
        <v>71.5</v>
      </c>
      <c r="F1041" s="302">
        <f t="shared" si="32"/>
        <v>0</v>
      </c>
    </row>
    <row r="1042" spans="1:6">
      <c r="B1042" s="422" t="s">
        <v>473</v>
      </c>
      <c r="C1042" s="285" t="s">
        <v>27</v>
      </c>
      <c r="D1042" s="318">
        <v>71.5</v>
      </c>
      <c r="F1042" s="302">
        <f t="shared" si="32"/>
        <v>0</v>
      </c>
    </row>
    <row r="1043" spans="1:6">
      <c r="B1043" s="422" t="s">
        <v>465</v>
      </c>
      <c r="C1043" s="285" t="s">
        <v>27</v>
      </c>
      <c r="D1043" s="318">
        <v>71.5</v>
      </c>
      <c r="F1043" s="302">
        <f t="shared" si="32"/>
        <v>0</v>
      </c>
    </row>
    <row r="1044" spans="1:6">
      <c r="B1044" s="483"/>
      <c r="C1044" s="309"/>
      <c r="F1044" s="302">
        <f t="shared" si="32"/>
        <v>0</v>
      </c>
    </row>
    <row r="1045" spans="1:6" ht="30">
      <c r="A1045" s="480">
        <f>IF(B1045&gt;0,MAX(A1030:A1044)+1,"")</f>
        <v>23</v>
      </c>
      <c r="B1045" s="392" t="s">
        <v>475</v>
      </c>
      <c r="C1045" s="309"/>
      <c r="F1045" s="302">
        <f t="shared" si="32"/>
        <v>0</v>
      </c>
    </row>
    <row r="1046" spans="1:6" ht="89.25">
      <c r="B1046" s="337" t="s">
        <v>458</v>
      </c>
      <c r="C1046" s="309"/>
      <c r="F1046" s="302">
        <f t="shared" si="32"/>
        <v>0</v>
      </c>
    </row>
    <row r="1047" spans="1:6" ht="90">
      <c r="B1047" s="422" t="s">
        <v>476</v>
      </c>
      <c r="C1047" s="309"/>
      <c r="F1047" s="302">
        <f t="shared" si="32"/>
        <v>0</v>
      </c>
    </row>
    <row r="1048" spans="1:6" ht="76.5">
      <c r="B1048" s="337" t="s">
        <v>460</v>
      </c>
      <c r="C1048" s="309"/>
      <c r="F1048" s="302">
        <f t="shared" si="32"/>
        <v>0</v>
      </c>
    </row>
    <row r="1049" spans="1:6" ht="39">
      <c r="B1049" s="422" t="s">
        <v>461</v>
      </c>
      <c r="C1049" s="309"/>
      <c r="F1049" s="302">
        <f t="shared" si="32"/>
        <v>0</v>
      </c>
    </row>
    <row r="1050" spans="1:6">
      <c r="B1050" s="422" t="s">
        <v>477</v>
      </c>
      <c r="C1050" s="309"/>
      <c r="F1050" s="302">
        <f t="shared" si="32"/>
        <v>0</v>
      </c>
    </row>
    <row r="1051" spans="1:6">
      <c r="B1051" s="422" t="s">
        <v>463</v>
      </c>
      <c r="C1051" s="285"/>
      <c r="F1051" s="302">
        <f t="shared" si="32"/>
        <v>0</v>
      </c>
    </row>
    <row r="1052" spans="1:6">
      <c r="B1052" s="422" t="s">
        <v>452</v>
      </c>
      <c r="C1052" s="285" t="s">
        <v>27</v>
      </c>
      <c r="D1052" s="318">
        <f>20.7+129.3+105.4</f>
        <v>255.4</v>
      </c>
      <c r="F1052" s="302">
        <f t="shared" si="32"/>
        <v>0</v>
      </c>
    </row>
    <row r="1053" spans="1:6">
      <c r="B1053" s="422" t="s">
        <v>478</v>
      </c>
      <c r="C1053" s="285" t="s">
        <v>27</v>
      </c>
      <c r="D1053" s="318">
        <f t="shared" ref="D1053:D1054" si="34">20.7+129.3+105.4</f>
        <v>255.4</v>
      </c>
      <c r="F1053" s="302">
        <f t="shared" si="32"/>
        <v>0</v>
      </c>
    </row>
    <row r="1054" spans="1:6">
      <c r="B1054" s="422" t="s">
        <v>465</v>
      </c>
      <c r="C1054" s="285" t="s">
        <v>27</v>
      </c>
      <c r="D1054" s="318">
        <f t="shared" si="34"/>
        <v>255.4</v>
      </c>
      <c r="F1054" s="302">
        <f t="shared" si="32"/>
        <v>0</v>
      </c>
    </row>
    <row r="1055" spans="1:6">
      <c r="B1055" s="483"/>
      <c r="C1055" s="309"/>
      <c r="F1055" s="302">
        <f t="shared" si="32"/>
        <v>0</v>
      </c>
    </row>
    <row r="1056" spans="1:6" ht="30">
      <c r="A1056" s="480">
        <f>IF(B1056&gt;0,MAX(A1041:A1055)+1,"")</f>
        <v>24</v>
      </c>
      <c r="B1056" s="392" t="s">
        <v>466</v>
      </c>
      <c r="C1056" s="309"/>
      <c r="F1056" s="302">
        <f t="shared" si="32"/>
        <v>0</v>
      </c>
    </row>
    <row r="1057" spans="1:6" ht="38.25">
      <c r="B1057" s="337" t="s">
        <v>467</v>
      </c>
      <c r="C1057" s="309"/>
      <c r="F1057" s="302">
        <f t="shared" si="32"/>
        <v>0</v>
      </c>
    </row>
    <row r="1058" spans="1:6" ht="90">
      <c r="B1058" s="422" t="s">
        <v>459</v>
      </c>
      <c r="C1058" s="309"/>
      <c r="F1058" s="302">
        <f t="shared" si="32"/>
        <v>0</v>
      </c>
    </row>
    <row r="1059" spans="1:6" ht="76.5">
      <c r="B1059" s="337" t="s">
        <v>460</v>
      </c>
      <c r="C1059" s="309"/>
      <c r="F1059" s="302">
        <f t="shared" si="32"/>
        <v>0</v>
      </c>
    </row>
    <row r="1060" spans="1:6" ht="39">
      <c r="B1060" s="422" t="s">
        <v>461</v>
      </c>
      <c r="C1060" s="309"/>
      <c r="F1060" s="302">
        <f t="shared" si="32"/>
        <v>0</v>
      </c>
    </row>
    <row r="1061" spans="1:6">
      <c r="B1061" s="422" t="s">
        <v>480</v>
      </c>
      <c r="C1061" s="309"/>
      <c r="F1061" s="302">
        <f t="shared" si="32"/>
        <v>0</v>
      </c>
    </row>
    <row r="1062" spans="1:6">
      <c r="B1062" s="422" t="s">
        <v>463</v>
      </c>
      <c r="C1062" s="285"/>
      <c r="F1062" s="302">
        <f t="shared" si="32"/>
        <v>0</v>
      </c>
    </row>
    <row r="1063" spans="1:6">
      <c r="B1063" s="422" t="s">
        <v>479</v>
      </c>
      <c r="C1063" s="285" t="s">
        <v>27</v>
      </c>
      <c r="D1063" s="318">
        <v>42.7</v>
      </c>
      <c r="F1063" s="302">
        <f t="shared" si="32"/>
        <v>0</v>
      </c>
    </row>
    <row r="1064" spans="1:6">
      <c r="B1064" s="422" t="s">
        <v>469</v>
      </c>
      <c r="C1064" s="285" t="s">
        <v>27</v>
      </c>
      <c r="D1064" s="318">
        <v>42.7</v>
      </c>
      <c r="F1064" s="302">
        <f t="shared" si="32"/>
        <v>0</v>
      </c>
    </row>
    <row r="1065" spans="1:6">
      <c r="B1065" s="483"/>
      <c r="C1065" s="309"/>
      <c r="F1065" s="302">
        <f t="shared" si="32"/>
        <v>0</v>
      </c>
    </row>
    <row r="1066" spans="1:6" ht="30">
      <c r="A1066" s="480">
        <f>IF(B1066&gt;0,MAX(A1051:A1065)+1,"")</f>
        <v>25</v>
      </c>
      <c r="B1066" s="392" t="s">
        <v>483</v>
      </c>
      <c r="C1066" s="309"/>
      <c r="F1066" s="302">
        <f t="shared" si="32"/>
        <v>0</v>
      </c>
    </row>
    <row r="1067" spans="1:6" ht="89.25">
      <c r="B1067" s="337" t="s">
        <v>458</v>
      </c>
      <c r="C1067" s="309"/>
      <c r="F1067" s="302">
        <f t="shared" si="32"/>
        <v>0</v>
      </c>
    </row>
    <row r="1068" spans="1:6" ht="90">
      <c r="B1068" s="422" t="s">
        <v>484</v>
      </c>
      <c r="C1068" s="309"/>
      <c r="F1068" s="302">
        <f t="shared" si="32"/>
        <v>0</v>
      </c>
    </row>
    <row r="1069" spans="1:6" ht="76.5">
      <c r="B1069" s="337" t="s">
        <v>460</v>
      </c>
      <c r="C1069" s="309"/>
      <c r="F1069" s="302">
        <f t="shared" si="32"/>
        <v>0</v>
      </c>
    </row>
    <row r="1070" spans="1:6" ht="39">
      <c r="B1070" s="422" t="s">
        <v>461</v>
      </c>
      <c r="C1070" s="309"/>
      <c r="F1070" s="302">
        <f t="shared" si="32"/>
        <v>0</v>
      </c>
    </row>
    <row r="1071" spans="1:6">
      <c r="B1071" s="422" t="s">
        <v>481</v>
      </c>
      <c r="C1071" s="309"/>
      <c r="F1071" s="302">
        <f t="shared" si="32"/>
        <v>0</v>
      </c>
    </row>
    <row r="1072" spans="1:6">
      <c r="B1072" s="422" t="s">
        <v>463</v>
      </c>
      <c r="C1072" s="285"/>
      <c r="F1072" s="302">
        <f t="shared" si="32"/>
        <v>0</v>
      </c>
    </row>
    <row r="1073" spans="1:6">
      <c r="B1073" s="422" t="s">
        <v>452</v>
      </c>
      <c r="C1073" s="285" t="s">
        <v>27</v>
      </c>
      <c r="D1073" s="318">
        <v>136.4</v>
      </c>
      <c r="F1073" s="302">
        <f t="shared" si="32"/>
        <v>0</v>
      </c>
    </row>
    <row r="1074" spans="1:6">
      <c r="B1074" s="422" t="s">
        <v>482</v>
      </c>
      <c r="C1074" s="285" t="s">
        <v>27</v>
      </c>
      <c r="D1074" s="318">
        <v>136.4</v>
      </c>
      <c r="F1074" s="302">
        <f t="shared" si="32"/>
        <v>0</v>
      </c>
    </row>
    <row r="1075" spans="1:6">
      <c r="B1075" s="422" t="s">
        <v>465</v>
      </c>
      <c r="C1075" s="285" t="s">
        <v>27</v>
      </c>
      <c r="D1075" s="318">
        <v>136.4</v>
      </c>
      <c r="F1075" s="302">
        <f t="shared" si="32"/>
        <v>0</v>
      </c>
    </row>
    <row r="1076" spans="1:6">
      <c r="B1076" s="422"/>
      <c r="C1076" s="285"/>
      <c r="D1076" s="318"/>
      <c r="F1076" s="302">
        <f t="shared" si="32"/>
        <v>0</v>
      </c>
    </row>
    <row r="1077" spans="1:6">
      <c r="B1077" s="474" t="s">
        <v>435</v>
      </c>
      <c r="C1077" s="309"/>
      <c r="F1077" s="302">
        <f t="shared" si="32"/>
        <v>0</v>
      </c>
    </row>
    <row r="1078" spans="1:6">
      <c r="B1078" s="483"/>
      <c r="C1078" s="309"/>
      <c r="F1078" s="302">
        <f t="shared" si="32"/>
        <v>0</v>
      </c>
    </row>
    <row r="1079" spans="1:6">
      <c r="A1079" s="480">
        <f>IF(B1079&gt;0,MAX(A1064:A1078)+1,"")</f>
        <v>26</v>
      </c>
      <c r="B1079" s="474" t="s">
        <v>491</v>
      </c>
      <c r="C1079" s="285"/>
      <c r="D1079" s="318"/>
      <c r="E1079" s="45"/>
      <c r="F1079" s="302">
        <f t="shared" si="32"/>
        <v>0</v>
      </c>
    </row>
    <row r="1080" spans="1:6" ht="153">
      <c r="A1080" s="336"/>
      <c r="B1080" s="406" t="s">
        <v>436</v>
      </c>
      <c r="C1080" s="285"/>
      <c r="D1080" s="318"/>
      <c r="E1080" s="45"/>
      <c r="F1080" s="302">
        <f t="shared" si="32"/>
        <v>0</v>
      </c>
    </row>
    <row r="1081" spans="1:6">
      <c r="A1081" s="336"/>
      <c r="B1081" s="406" t="s">
        <v>437</v>
      </c>
      <c r="C1081" s="285"/>
      <c r="D1081" s="318"/>
      <c r="E1081" s="45"/>
      <c r="F1081" s="302">
        <f t="shared" si="32"/>
        <v>0</v>
      </c>
    </row>
    <row r="1082" spans="1:6">
      <c r="A1082" s="336"/>
      <c r="B1082" s="406" t="s">
        <v>1317</v>
      </c>
      <c r="C1082" s="285" t="s">
        <v>26</v>
      </c>
      <c r="D1082" s="318">
        <v>6.2</v>
      </c>
      <c r="E1082" s="45"/>
      <c r="F1082" s="302">
        <f t="shared" si="32"/>
        <v>0</v>
      </c>
    </row>
    <row r="1083" spans="1:6">
      <c r="A1083" s="336"/>
      <c r="B1083" s="406" t="s">
        <v>489</v>
      </c>
      <c r="C1083" s="285" t="s">
        <v>26</v>
      </c>
      <c r="D1083" s="318">
        <v>20</v>
      </c>
      <c r="E1083" s="45"/>
      <c r="F1083" s="302">
        <f t="shared" ref="F1083:F1093" si="35">E1083*D1083</f>
        <v>0</v>
      </c>
    </row>
    <row r="1084" spans="1:6">
      <c r="A1084" s="336"/>
      <c r="B1084" s="406" t="s">
        <v>1315</v>
      </c>
      <c r="C1084" s="285" t="s">
        <v>26</v>
      </c>
      <c r="D1084" s="318">
        <v>1</v>
      </c>
      <c r="E1084" s="45"/>
      <c r="F1084" s="302">
        <f t="shared" si="35"/>
        <v>0</v>
      </c>
    </row>
    <row r="1085" spans="1:6">
      <c r="A1085" s="336"/>
      <c r="B1085" s="406" t="s">
        <v>1316</v>
      </c>
      <c r="C1085" s="285" t="s">
        <v>26</v>
      </c>
      <c r="D1085" s="318">
        <v>1.6</v>
      </c>
      <c r="E1085" s="45"/>
      <c r="F1085" s="302">
        <f t="shared" si="35"/>
        <v>0</v>
      </c>
    </row>
    <row r="1086" spans="1:6">
      <c r="A1086" s="336"/>
      <c r="B1086" s="406" t="s">
        <v>1318</v>
      </c>
      <c r="C1086" s="285" t="s">
        <v>26</v>
      </c>
      <c r="D1086" s="318">
        <f>21.21+1.8</f>
        <v>23.01</v>
      </c>
      <c r="E1086" s="45"/>
      <c r="F1086" s="302">
        <f t="shared" si="35"/>
        <v>0</v>
      </c>
    </row>
    <row r="1087" spans="1:6">
      <c r="A1087" s="336"/>
      <c r="B1087" s="406" t="s">
        <v>1319</v>
      </c>
      <c r="C1087" s="285" t="s">
        <v>26</v>
      </c>
      <c r="D1087" s="318">
        <f>9.4+1.7</f>
        <v>11.1</v>
      </c>
      <c r="E1087" s="45"/>
      <c r="F1087" s="302">
        <f t="shared" si="35"/>
        <v>0</v>
      </c>
    </row>
    <row r="1088" spans="1:6">
      <c r="B1088" s="406" t="s">
        <v>1320</v>
      </c>
      <c r="C1088" s="285" t="s">
        <v>26</v>
      </c>
      <c r="D1088" s="318">
        <f>19.1</f>
        <v>19.100000000000001</v>
      </c>
      <c r="F1088" s="302">
        <f t="shared" si="35"/>
        <v>0</v>
      </c>
    </row>
    <row r="1089" spans="1:7">
      <c r="B1089" s="406" t="s">
        <v>1321</v>
      </c>
      <c r="C1089" s="285" t="s">
        <v>26</v>
      </c>
      <c r="D1089" s="318">
        <f>32.5</f>
        <v>32.5</v>
      </c>
      <c r="F1089" s="302">
        <f t="shared" si="35"/>
        <v>0</v>
      </c>
    </row>
    <row r="1090" spans="1:7">
      <c r="A1090" s="336"/>
      <c r="B1090" s="406" t="s">
        <v>1322</v>
      </c>
      <c r="C1090" s="285" t="s">
        <v>26</v>
      </c>
      <c r="D1090" s="318">
        <f>1.08+3.83+2.86+2.63</f>
        <v>10.4</v>
      </c>
      <c r="E1090" s="45"/>
      <c r="F1090" s="302">
        <f t="shared" si="35"/>
        <v>0</v>
      </c>
    </row>
    <row r="1091" spans="1:7">
      <c r="B1091" s="406" t="s">
        <v>1323</v>
      </c>
      <c r="C1091" s="285" t="s">
        <v>26</v>
      </c>
      <c r="D1091" s="318">
        <f>10+8.1+8</f>
        <v>26.1</v>
      </c>
      <c r="F1091" s="302">
        <f t="shared" si="35"/>
        <v>0</v>
      </c>
    </row>
    <row r="1092" spans="1:7" s="278" customFormat="1">
      <c r="A1092" s="344"/>
      <c r="B1092" s="406" t="s">
        <v>1324</v>
      </c>
      <c r="C1092" s="285" t="s">
        <v>26</v>
      </c>
      <c r="D1092" s="318">
        <f>9+7.8+7.7+13.1</f>
        <v>37.6</v>
      </c>
      <c r="E1092" s="352"/>
      <c r="F1092" s="302">
        <f t="shared" si="35"/>
        <v>0</v>
      </c>
      <c r="G1092" s="339"/>
    </row>
    <row r="1093" spans="1:7" s="278" customFormat="1">
      <c r="A1093" s="344"/>
      <c r="B1093" s="406" t="s">
        <v>1325</v>
      </c>
      <c r="C1093" s="285" t="s">
        <v>27</v>
      </c>
      <c r="D1093" s="318">
        <f>0.6+3.1+15.7+5.1+4.6+7.1+7.3+37.4</f>
        <v>80.900000000000006</v>
      </c>
      <c r="E1093" s="352"/>
      <c r="F1093" s="302">
        <f t="shared" si="35"/>
        <v>0</v>
      </c>
      <c r="G1093" s="339"/>
    </row>
    <row r="1094" spans="1:7" s="278" customFormat="1">
      <c r="A1094" s="344"/>
      <c r="B1094" s="406"/>
      <c r="C1094" s="285"/>
      <c r="D1094" s="318"/>
      <c r="E1094" s="352"/>
      <c r="F1094" s="307"/>
      <c r="G1094" s="339"/>
    </row>
    <row r="1095" spans="1:7" s="278" customFormat="1">
      <c r="A1095" s="484" t="s">
        <v>1399</v>
      </c>
      <c r="B1095" s="369" t="s">
        <v>10</v>
      </c>
      <c r="C1095" s="369"/>
      <c r="D1095" s="471"/>
      <c r="E1095" s="521"/>
      <c r="F1095" s="472">
        <f>SUM(F875:F1093)</f>
        <v>0</v>
      </c>
      <c r="G1095" s="339"/>
    </row>
    <row r="1096" spans="1:7" s="278" customFormat="1">
      <c r="A1096" s="485"/>
      <c r="B1096" s="486"/>
      <c r="C1096" s="486"/>
      <c r="D1096" s="487"/>
      <c r="E1096" s="15"/>
      <c r="F1096" s="488"/>
      <c r="G1096" s="339"/>
    </row>
    <row r="1097" spans="1:7" s="278" customFormat="1">
      <c r="A1097" s="484" t="s">
        <v>1838</v>
      </c>
      <c r="B1097" s="489" t="s">
        <v>1400</v>
      </c>
      <c r="C1097" s="489"/>
      <c r="D1097" s="490"/>
      <c r="E1097" s="523"/>
      <c r="F1097" s="491"/>
      <c r="G1097" s="339"/>
    </row>
    <row r="1098" spans="1:7" s="278" customFormat="1">
      <c r="A1098" s="336"/>
      <c r="B1098" s="317"/>
      <c r="C1098" s="493"/>
      <c r="D1098" s="494"/>
      <c r="E1098" s="524"/>
      <c r="F1098" s="495"/>
      <c r="G1098" s="339"/>
    </row>
    <row r="1099" spans="1:7" s="278" customFormat="1">
      <c r="A1099" s="496">
        <v>1</v>
      </c>
      <c r="B1099" s="497" t="s">
        <v>1403</v>
      </c>
      <c r="C1099" s="493"/>
      <c r="D1099" s="494"/>
      <c r="E1099" s="524"/>
      <c r="F1099" s="495"/>
      <c r="G1099" s="339"/>
    </row>
    <row r="1100" spans="1:7" s="278" customFormat="1" ht="51">
      <c r="A1100" s="336"/>
      <c r="B1100" s="498" t="s">
        <v>1948</v>
      </c>
      <c r="C1100" s="493"/>
      <c r="D1100" s="494"/>
      <c r="E1100" s="524"/>
      <c r="F1100" s="495"/>
      <c r="G1100" s="339"/>
    </row>
    <row r="1101" spans="1:7" ht="38.25">
      <c r="A1101" s="336"/>
      <c r="B1101" s="498" t="s">
        <v>1404</v>
      </c>
      <c r="C1101" s="493"/>
      <c r="D1101" s="494"/>
      <c r="E1101" s="524"/>
      <c r="F1101" s="495"/>
    </row>
    <row r="1102" spans="1:7">
      <c r="A1102" s="336"/>
      <c r="B1102" s="498" t="s">
        <v>1405</v>
      </c>
      <c r="C1102" s="493"/>
      <c r="D1102" s="425"/>
      <c r="E1102" s="525"/>
      <c r="F1102" s="499"/>
    </row>
    <row r="1103" spans="1:7" s="278" customFormat="1">
      <c r="A1103" s="336"/>
      <c r="B1103" s="498" t="s">
        <v>1401</v>
      </c>
      <c r="C1103" s="493" t="s">
        <v>27</v>
      </c>
      <c r="D1103" s="318">
        <f>344.9+302.2+46.4+66.3</f>
        <v>759.8</v>
      </c>
      <c r="E1103" s="45"/>
      <c r="F1103" s="302">
        <f>D1103*E1103</f>
        <v>0</v>
      </c>
      <c r="G1103" s="339"/>
    </row>
    <row r="1104" spans="1:7">
      <c r="A1104" s="500"/>
      <c r="B1104" s="501"/>
      <c r="C1104" s="501"/>
      <c r="D1104" s="502"/>
      <c r="E1104" s="16"/>
      <c r="F1104" s="302">
        <f t="shared" ref="F1104:F1142" si="36">D1104*E1104</f>
        <v>0</v>
      </c>
    </row>
    <row r="1105" spans="1:7">
      <c r="A1105" s="496">
        <v>2</v>
      </c>
      <c r="B1105" s="497" t="s">
        <v>1585</v>
      </c>
      <c r="C1105" s="503"/>
      <c r="D1105" s="380"/>
      <c r="E1105" s="47"/>
      <c r="F1105" s="302">
        <f t="shared" si="36"/>
        <v>0</v>
      </c>
    </row>
    <row r="1106" spans="1:7">
      <c r="A1106" s="504"/>
      <c r="B1106" s="498" t="s">
        <v>1586</v>
      </c>
      <c r="C1106" s="503"/>
      <c r="D1106" s="380"/>
      <c r="E1106" s="47"/>
      <c r="F1106" s="302">
        <f t="shared" si="36"/>
        <v>0</v>
      </c>
    </row>
    <row r="1107" spans="1:7" ht="76.5">
      <c r="A1107" s="504"/>
      <c r="B1107" s="498" t="s">
        <v>1587</v>
      </c>
      <c r="C1107" s="468"/>
      <c r="D1107" s="376"/>
      <c r="E1107" s="46"/>
      <c r="F1107" s="302">
        <f t="shared" si="36"/>
        <v>0</v>
      </c>
    </row>
    <row r="1108" spans="1:7" s="278" customFormat="1" ht="51">
      <c r="A1108" s="504"/>
      <c r="B1108" s="498" t="s">
        <v>1588</v>
      </c>
      <c r="C1108" s="468"/>
      <c r="D1108" s="376"/>
      <c r="E1108" s="46"/>
      <c r="F1108" s="302">
        <f t="shared" si="36"/>
        <v>0</v>
      </c>
      <c r="G1108" s="339"/>
    </row>
    <row r="1109" spans="1:7">
      <c r="A1109" s="504"/>
      <c r="B1109" s="498" t="s">
        <v>1589</v>
      </c>
      <c r="C1109" s="468"/>
      <c r="D1109" s="376"/>
      <c r="E1109" s="46"/>
      <c r="F1109" s="302">
        <f t="shared" si="36"/>
        <v>0</v>
      </c>
    </row>
    <row r="1110" spans="1:7" s="492" customFormat="1">
      <c r="A1110" s="504"/>
      <c r="B1110" s="498" t="s">
        <v>1590</v>
      </c>
      <c r="C1110" s="468"/>
      <c r="D1110" s="376"/>
      <c r="E1110" s="46"/>
      <c r="F1110" s="302">
        <f t="shared" si="36"/>
        <v>0</v>
      </c>
    </row>
    <row r="1111" spans="1:7" s="492" customFormat="1">
      <c r="A1111" s="504"/>
      <c r="B1111" s="498" t="s">
        <v>1591</v>
      </c>
      <c r="C1111" s="468"/>
      <c r="D1111" s="376"/>
      <c r="E1111" s="46"/>
      <c r="F1111" s="302">
        <f t="shared" si="36"/>
        <v>0</v>
      </c>
    </row>
    <row r="1112" spans="1:7" s="492" customFormat="1">
      <c r="A1112" s="504"/>
      <c r="B1112" s="498" t="s">
        <v>1592</v>
      </c>
      <c r="C1112" s="468"/>
      <c r="D1112" s="376"/>
      <c r="E1112" s="46"/>
      <c r="F1112" s="302">
        <f t="shared" si="36"/>
        <v>0</v>
      </c>
    </row>
    <row r="1113" spans="1:7" s="492" customFormat="1">
      <c r="A1113" s="504"/>
      <c r="B1113" s="498" t="s">
        <v>1593</v>
      </c>
      <c r="C1113" s="468"/>
      <c r="D1113" s="376"/>
      <c r="E1113" s="46"/>
      <c r="F1113" s="302">
        <f t="shared" si="36"/>
        <v>0</v>
      </c>
    </row>
    <row r="1114" spans="1:7" s="492" customFormat="1">
      <c r="A1114" s="504"/>
      <c r="B1114" s="498" t="s">
        <v>1594</v>
      </c>
      <c r="C1114" s="468"/>
      <c r="D1114" s="376"/>
      <c r="E1114" s="46"/>
      <c r="F1114" s="302">
        <f t="shared" si="36"/>
        <v>0</v>
      </c>
    </row>
    <row r="1115" spans="1:7" s="492" customFormat="1">
      <c r="A1115" s="504"/>
      <c r="B1115" s="498" t="s">
        <v>1595</v>
      </c>
      <c r="C1115" s="468"/>
      <c r="D1115" s="376"/>
      <c r="E1115" s="46"/>
      <c r="F1115" s="302">
        <f t="shared" si="36"/>
        <v>0</v>
      </c>
    </row>
    <row r="1116" spans="1:7" s="492" customFormat="1">
      <c r="A1116" s="504"/>
      <c r="B1116" s="498" t="s">
        <v>1596</v>
      </c>
      <c r="C1116" s="468"/>
      <c r="D1116" s="376"/>
      <c r="E1116" s="46"/>
      <c r="F1116" s="302">
        <f t="shared" si="36"/>
        <v>0</v>
      </c>
    </row>
    <row r="1117" spans="1:7" s="492" customFormat="1">
      <c r="A1117" s="504"/>
      <c r="B1117" s="498" t="s">
        <v>1597</v>
      </c>
      <c r="C1117" s="468"/>
      <c r="D1117" s="376"/>
      <c r="E1117" s="46"/>
      <c r="F1117" s="302">
        <f t="shared" si="36"/>
        <v>0</v>
      </c>
    </row>
    <row r="1118" spans="1:7" s="397" customFormat="1">
      <c r="A1118" s="504"/>
      <c r="B1118" s="498" t="s">
        <v>1598</v>
      </c>
      <c r="C1118" s="468"/>
      <c r="D1118" s="376"/>
      <c r="E1118" s="46"/>
      <c r="F1118" s="302">
        <f t="shared" si="36"/>
        <v>0</v>
      </c>
    </row>
    <row r="1119" spans="1:7" s="397" customFormat="1">
      <c r="A1119" s="504"/>
      <c r="B1119" s="498" t="s">
        <v>1599</v>
      </c>
      <c r="C1119" s="468"/>
      <c r="D1119" s="376"/>
      <c r="E1119" s="46"/>
      <c r="F1119" s="302">
        <f t="shared" si="36"/>
        <v>0</v>
      </c>
    </row>
    <row r="1120" spans="1:7" s="397" customFormat="1">
      <c r="A1120" s="504"/>
      <c r="B1120" s="498" t="s">
        <v>1600</v>
      </c>
      <c r="C1120" s="468"/>
      <c r="D1120" s="376"/>
      <c r="E1120" s="46"/>
      <c r="F1120" s="302">
        <f t="shared" si="36"/>
        <v>0</v>
      </c>
    </row>
    <row r="1121" spans="1:6" s="397" customFormat="1">
      <c r="A1121" s="504"/>
      <c r="B1121" s="498" t="s">
        <v>1601</v>
      </c>
      <c r="C1121" s="468"/>
      <c r="D1121" s="376"/>
      <c r="E1121" s="46"/>
      <c r="F1121" s="302">
        <f t="shared" si="36"/>
        <v>0</v>
      </c>
    </row>
    <row r="1122" spans="1:6" s="397" customFormat="1">
      <c r="A1122" s="504"/>
      <c r="B1122" s="498" t="s">
        <v>1602</v>
      </c>
      <c r="C1122" s="468"/>
      <c r="D1122" s="376"/>
      <c r="E1122" s="46"/>
      <c r="F1122" s="302">
        <f t="shared" si="36"/>
        <v>0</v>
      </c>
    </row>
    <row r="1123" spans="1:6" s="397" customFormat="1">
      <c r="A1123" s="504"/>
      <c r="B1123" s="498" t="s">
        <v>1603</v>
      </c>
      <c r="C1123" s="468"/>
      <c r="D1123" s="376"/>
      <c r="E1123" s="46"/>
      <c r="F1123" s="302">
        <f t="shared" si="36"/>
        <v>0</v>
      </c>
    </row>
    <row r="1124" spans="1:6" s="397" customFormat="1">
      <c r="A1124" s="504"/>
      <c r="B1124" s="498" t="s">
        <v>1604</v>
      </c>
      <c r="C1124" s="468"/>
      <c r="D1124" s="376"/>
      <c r="E1124" s="46"/>
      <c r="F1124" s="302">
        <f t="shared" si="36"/>
        <v>0</v>
      </c>
    </row>
    <row r="1125" spans="1:6" s="397" customFormat="1">
      <c r="A1125" s="504"/>
      <c r="B1125" s="498" t="s">
        <v>1605</v>
      </c>
      <c r="C1125" s="468"/>
      <c r="D1125" s="376"/>
      <c r="E1125" s="46"/>
      <c r="F1125" s="302">
        <f t="shared" si="36"/>
        <v>0</v>
      </c>
    </row>
    <row r="1126" spans="1:6" s="397" customFormat="1">
      <c r="A1126" s="504"/>
      <c r="B1126" s="498" t="s">
        <v>1606</v>
      </c>
      <c r="C1126" s="468"/>
      <c r="D1126" s="376"/>
      <c r="E1126" s="46"/>
      <c r="F1126" s="302">
        <f t="shared" si="36"/>
        <v>0</v>
      </c>
    </row>
    <row r="1127" spans="1:6" s="397" customFormat="1">
      <c r="A1127" s="504"/>
      <c r="B1127" s="498" t="s">
        <v>1607</v>
      </c>
      <c r="C1127" s="468"/>
      <c r="D1127" s="376"/>
      <c r="E1127" s="46"/>
      <c r="F1127" s="302">
        <f t="shared" si="36"/>
        <v>0</v>
      </c>
    </row>
    <row r="1128" spans="1:6" s="397" customFormat="1">
      <c r="A1128" s="504"/>
      <c r="B1128" s="498" t="s">
        <v>1608</v>
      </c>
      <c r="C1128" s="468"/>
      <c r="D1128" s="376"/>
      <c r="E1128" s="46"/>
      <c r="F1128" s="302">
        <f t="shared" si="36"/>
        <v>0</v>
      </c>
    </row>
    <row r="1129" spans="1:6" s="397" customFormat="1">
      <c r="A1129" s="504"/>
      <c r="B1129" s="498" t="s">
        <v>1609</v>
      </c>
      <c r="C1129" s="468"/>
      <c r="D1129" s="376"/>
      <c r="E1129" s="46"/>
      <c r="F1129" s="302">
        <f t="shared" si="36"/>
        <v>0</v>
      </c>
    </row>
    <row r="1130" spans="1:6" s="397" customFormat="1">
      <c r="A1130" s="469"/>
      <c r="B1130" s="498" t="s">
        <v>1610</v>
      </c>
      <c r="C1130" s="493" t="s">
        <v>27</v>
      </c>
      <c r="D1130" s="318">
        <v>700</v>
      </c>
      <c r="E1130" s="45"/>
      <c r="F1130" s="302">
        <f t="shared" si="36"/>
        <v>0</v>
      </c>
    </row>
    <row r="1131" spans="1:6" s="397" customFormat="1">
      <c r="A1131" s="469"/>
      <c r="B1131" s="470"/>
      <c r="C1131" s="468"/>
      <c r="D1131" s="376"/>
      <c r="E1131" s="46"/>
      <c r="F1131" s="302">
        <f t="shared" si="36"/>
        <v>0</v>
      </c>
    </row>
    <row r="1132" spans="1:6" s="397" customFormat="1">
      <c r="A1132" s="496">
        <v>3</v>
      </c>
      <c r="B1132" s="497" t="s">
        <v>1619</v>
      </c>
      <c r="C1132" s="493"/>
      <c r="D1132" s="318"/>
      <c r="E1132" s="45"/>
      <c r="F1132" s="302">
        <f t="shared" si="36"/>
        <v>0</v>
      </c>
    </row>
    <row r="1133" spans="1:6" s="397" customFormat="1" ht="114.75">
      <c r="A1133" s="505"/>
      <c r="B1133" s="498" t="s">
        <v>1949</v>
      </c>
      <c r="C1133" s="493"/>
      <c r="D1133" s="318"/>
      <c r="E1133" s="45"/>
      <c r="F1133" s="302">
        <f t="shared" si="36"/>
        <v>0</v>
      </c>
    </row>
    <row r="1134" spans="1:6" s="397" customFormat="1">
      <c r="A1134" s="505"/>
      <c r="B1134" s="498" t="s">
        <v>1950</v>
      </c>
      <c r="C1134" s="493" t="s">
        <v>27</v>
      </c>
      <c r="D1134" s="318">
        <v>950</v>
      </c>
      <c r="E1134" s="45"/>
      <c r="F1134" s="302">
        <f t="shared" si="36"/>
        <v>0</v>
      </c>
    </row>
    <row r="1135" spans="1:6" s="397" customFormat="1">
      <c r="A1135" s="505"/>
      <c r="B1135" s="498"/>
      <c r="C1135" s="493"/>
      <c r="D1135" s="318"/>
      <c r="E1135" s="45"/>
      <c r="F1135" s="302">
        <f t="shared" si="36"/>
        <v>0</v>
      </c>
    </row>
    <row r="1136" spans="1:6" s="397" customFormat="1">
      <c r="A1136" s="496">
        <v>4</v>
      </c>
      <c r="B1136" s="497" t="s">
        <v>1620</v>
      </c>
      <c r="C1136" s="493"/>
      <c r="D1136" s="318"/>
      <c r="E1136" s="45"/>
      <c r="F1136" s="302">
        <f t="shared" si="36"/>
        <v>0</v>
      </c>
    </row>
    <row r="1137" spans="1:6" s="397" customFormat="1" ht="76.5">
      <c r="A1137" s="505"/>
      <c r="B1137" s="498" t="s">
        <v>1617</v>
      </c>
      <c r="C1137" s="493"/>
      <c r="D1137" s="318"/>
      <c r="E1137" s="45"/>
      <c r="F1137" s="302">
        <f t="shared" si="36"/>
        <v>0</v>
      </c>
    </row>
    <row r="1138" spans="1:6" s="397" customFormat="1">
      <c r="A1138" s="505"/>
      <c r="B1138" s="498" t="s">
        <v>1950</v>
      </c>
      <c r="C1138" s="493" t="s">
        <v>27</v>
      </c>
      <c r="D1138" s="318">
        <v>700</v>
      </c>
      <c r="E1138" s="45"/>
      <c r="F1138" s="302">
        <f t="shared" si="36"/>
        <v>0</v>
      </c>
    </row>
    <row r="1139" spans="1:6" s="397" customFormat="1">
      <c r="A1139" s="505"/>
      <c r="B1139" s="498"/>
      <c r="C1139" s="493"/>
      <c r="D1139" s="318"/>
      <c r="E1139" s="45"/>
      <c r="F1139" s="302">
        <f t="shared" si="36"/>
        <v>0</v>
      </c>
    </row>
    <row r="1140" spans="1:6" s="397" customFormat="1">
      <c r="A1140" s="496">
        <v>5</v>
      </c>
      <c r="B1140" s="497" t="s">
        <v>1621</v>
      </c>
      <c r="C1140" s="493"/>
      <c r="D1140" s="318"/>
      <c r="E1140" s="45"/>
      <c r="F1140" s="302">
        <f t="shared" si="36"/>
        <v>0</v>
      </c>
    </row>
    <row r="1141" spans="1:6" s="397" customFormat="1" ht="76.5">
      <c r="A1141" s="505"/>
      <c r="B1141" s="498" t="s">
        <v>1618</v>
      </c>
      <c r="C1141" s="493"/>
      <c r="D1141" s="318"/>
      <c r="E1141" s="45"/>
      <c r="F1141" s="302">
        <f t="shared" si="36"/>
        <v>0</v>
      </c>
    </row>
    <row r="1142" spans="1:6" s="397" customFormat="1">
      <c r="A1142" s="469"/>
      <c r="B1142" s="498" t="s">
        <v>1950</v>
      </c>
      <c r="C1142" s="493" t="s">
        <v>27</v>
      </c>
      <c r="D1142" s="318">
        <v>830</v>
      </c>
      <c r="E1142" s="45"/>
      <c r="F1142" s="302">
        <f t="shared" si="36"/>
        <v>0</v>
      </c>
    </row>
    <row r="1143" spans="1:6" s="397" customFormat="1" ht="12">
      <c r="A1143" s="469"/>
      <c r="B1143" s="470"/>
      <c r="C1143" s="468"/>
      <c r="D1143" s="376"/>
      <c r="E1143" s="46"/>
      <c r="F1143" s="377"/>
    </row>
    <row r="1144" spans="1:6" s="397" customFormat="1">
      <c r="A1144" s="484" t="s">
        <v>1838</v>
      </c>
      <c r="B1144" s="489" t="s">
        <v>1402</v>
      </c>
      <c r="C1144" s="489"/>
      <c r="D1144" s="490"/>
      <c r="E1144" s="523"/>
      <c r="F1144" s="491">
        <f>SUM(F1100:F1142)</f>
        <v>0</v>
      </c>
    </row>
    <row r="1145" spans="1:6" s="397" customFormat="1">
      <c r="A1145" s="336"/>
      <c r="B1145" s="317"/>
      <c r="C1145" s="317"/>
      <c r="D1145" s="318"/>
      <c r="E1145" s="45"/>
      <c r="F1145" s="338"/>
    </row>
    <row r="1146" spans="1:6" s="397" customFormat="1">
      <c r="A1146" s="506" t="s">
        <v>9</v>
      </c>
      <c r="B1146" s="507" t="s">
        <v>25</v>
      </c>
      <c r="C1146" s="508"/>
      <c r="D1146" s="509"/>
      <c r="E1146" s="526"/>
      <c r="F1146" s="510"/>
    </row>
    <row r="1147" spans="1:6" s="397" customFormat="1">
      <c r="A1147" s="336"/>
      <c r="B1147" s="317"/>
      <c r="C1147" s="317"/>
      <c r="D1147" s="318"/>
      <c r="E1147" s="45"/>
      <c r="F1147" s="338"/>
    </row>
    <row r="1148" spans="1:6" s="397" customFormat="1" ht="17.25" customHeight="1">
      <c r="A1148" s="289" t="s">
        <v>24</v>
      </c>
      <c r="B1148" s="290" t="s">
        <v>22</v>
      </c>
      <c r="C1148" s="341"/>
      <c r="D1148" s="342"/>
      <c r="E1148" s="351"/>
      <c r="F1148" s="343">
        <f>F82</f>
        <v>0</v>
      </c>
    </row>
    <row r="1149" spans="1:6" s="397" customFormat="1">
      <c r="A1149" s="289" t="s">
        <v>23</v>
      </c>
      <c r="B1149" s="369" t="s">
        <v>20</v>
      </c>
      <c r="C1149" s="341"/>
      <c r="D1149" s="342"/>
      <c r="E1149" s="351"/>
      <c r="F1149" s="343">
        <f>F122</f>
        <v>0</v>
      </c>
    </row>
    <row r="1150" spans="1:6" s="397" customFormat="1">
      <c r="A1150" s="289" t="s">
        <v>21</v>
      </c>
      <c r="B1150" s="369" t="s">
        <v>18</v>
      </c>
      <c r="C1150" s="341"/>
      <c r="D1150" s="342"/>
      <c r="E1150" s="351"/>
      <c r="F1150" s="389">
        <f>F244</f>
        <v>0</v>
      </c>
    </row>
    <row r="1151" spans="1:6" s="397" customFormat="1">
      <c r="A1151" s="289" t="s">
        <v>19</v>
      </c>
      <c r="B1151" s="369" t="s">
        <v>16</v>
      </c>
      <c r="C1151" s="341"/>
      <c r="D1151" s="342"/>
      <c r="E1151" s="349"/>
      <c r="F1151" s="389">
        <f>F260</f>
        <v>0</v>
      </c>
    </row>
    <row r="1152" spans="1:6" s="397" customFormat="1">
      <c r="A1152" s="289" t="s">
        <v>17</v>
      </c>
      <c r="B1152" s="369" t="s">
        <v>1623</v>
      </c>
      <c r="C1152" s="341"/>
      <c r="D1152" s="342"/>
      <c r="E1152" s="351"/>
      <c r="F1152" s="389">
        <f>F285</f>
        <v>0</v>
      </c>
    </row>
    <row r="1153" spans="1:7" s="397" customFormat="1">
      <c r="A1153" s="289" t="s">
        <v>15</v>
      </c>
      <c r="B1153" s="369" t="s">
        <v>1812</v>
      </c>
      <c r="C1153" s="341"/>
      <c r="D1153" s="342"/>
      <c r="E1153" s="351"/>
      <c r="F1153" s="389">
        <f>F407</f>
        <v>0</v>
      </c>
    </row>
    <row r="1154" spans="1:7" s="397" customFormat="1">
      <c r="A1154" s="289" t="s">
        <v>13</v>
      </c>
      <c r="B1154" s="369" t="s">
        <v>14</v>
      </c>
      <c r="C1154" s="369"/>
      <c r="D1154" s="342"/>
      <c r="E1154" s="521"/>
      <c r="F1154" s="472">
        <f>F840</f>
        <v>0</v>
      </c>
    </row>
    <row r="1155" spans="1:7" s="397" customFormat="1">
      <c r="A1155" s="289" t="s">
        <v>11</v>
      </c>
      <c r="B1155" s="369" t="s">
        <v>12</v>
      </c>
      <c r="C1155" s="369"/>
      <c r="D1155" s="471"/>
      <c r="E1155" s="521"/>
      <c r="F1155" s="472">
        <f>F871</f>
        <v>0</v>
      </c>
    </row>
    <row r="1156" spans="1:7" s="397" customFormat="1">
      <c r="A1156" s="289" t="s">
        <v>1399</v>
      </c>
      <c r="B1156" s="369" t="s">
        <v>10</v>
      </c>
      <c r="C1156" s="369"/>
      <c r="D1156" s="342"/>
      <c r="E1156" s="521"/>
      <c r="F1156" s="472">
        <f>F1095</f>
        <v>0</v>
      </c>
    </row>
    <row r="1157" spans="1:7" s="492" customFormat="1">
      <c r="A1157" s="289" t="s">
        <v>1838</v>
      </c>
      <c r="B1157" s="369" t="s">
        <v>1402</v>
      </c>
      <c r="C1157" s="369"/>
      <c r="D1157" s="471"/>
      <c r="E1157" s="521"/>
      <c r="F1157" s="472">
        <f>F1144</f>
        <v>0</v>
      </c>
    </row>
    <row r="1158" spans="1:7" s="278" customFormat="1">
      <c r="A1158" s="336"/>
      <c r="B1158" s="317"/>
      <c r="C1158" s="317"/>
      <c r="D1158" s="318"/>
      <c r="E1158" s="45"/>
      <c r="F1158" s="338"/>
    </row>
    <row r="1159" spans="1:7" s="278" customFormat="1">
      <c r="A1159" s="511" t="s">
        <v>9</v>
      </c>
      <c r="B1159" s="512" t="s">
        <v>8</v>
      </c>
      <c r="C1159" s="512"/>
      <c r="D1159" s="513"/>
      <c r="E1159" s="527"/>
      <c r="F1159" s="514">
        <f>SUM(F1148:F1157)</f>
        <v>0</v>
      </c>
      <c r="G1159" s="339"/>
    </row>
    <row r="1160" spans="1:7" s="278" customFormat="1">
      <c r="A1160" s="336"/>
      <c r="B1160" s="317"/>
      <c r="C1160" s="317"/>
      <c r="D1160" s="318"/>
      <c r="E1160" s="45"/>
      <c r="F1160" s="338"/>
      <c r="G1160" s="339"/>
    </row>
    <row r="1161" spans="1:7" s="278" customFormat="1">
      <c r="A1161" s="336"/>
      <c r="B1161" s="317"/>
      <c r="C1161" s="317"/>
      <c r="D1161" s="318"/>
      <c r="E1161" s="45"/>
      <c r="F1161" s="338"/>
      <c r="G1161" s="339"/>
    </row>
    <row r="1162" spans="1:7" s="278" customFormat="1">
      <c r="A1162" s="344"/>
      <c r="B1162" s="315"/>
      <c r="C1162" s="315"/>
      <c r="D1162" s="316"/>
      <c r="E1162" s="352"/>
      <c r="F1162" s="345"/>
      <c r="G1162" s="339"/>
    </row>
    <row r="1163" spans="1:7" s="278" customFormat="1">
      <c r="A1163" s="344"/>
      <c r="B1163" s="315"/>
      <c r="C1163" s="315"/>
      <c r="D1163" s="316"/>
      <c r="E1163" s="352"/>
      <c r="F1163" s="345"/>
      <c r="G1163" s="354"/>
    </row>
    <row r="1164" spans="1:7" s="278" customFormat="1">
      <c r="A1164" s="344"/>
      <c r="B1164" s="315"/>
      <c r="C1164" s="315"/>
      <c r="D1164" s="316"/>
      <c r="E1164" s="352"/>
      <c r="F1164" s="345"/>
      <c r="G1164" s="339"/>
    </row>
    <row r="1165" spans="1:7" s="278" customFormat="1">
      <c r="A1165" s="344"/>
      <c r="B1165" s="315"/>
      <c r="C1165" s="315"/>
      <c r="D1165" s="316"/>
      <c r="E1165" s="352"/>
      <c r="F1165" s="345"/>
      <c r="G1165" s="339"/>
    </row>
    <row r="1166" spans="1:7" s="278" customFormat="1">
      <c r="A1166" s="344"/>
      <c r="B1166" s="315"/>
      <c r="C1166" s="315"/>
      <c r="D1166" s="316"/>
      <c r="E1166" s="352"/>
      <c r="F1166" s="345"/>
      <c r="G1166" s="339"/>
    </row>
    <row r="1167" spans="1:7" s="278" customFormat="1">
      <c r="A1167" s="344"/>
      <c r="B1167" s="315"/>
      <c r="C1167" s="315"/>
      <c r="D1167" s="316"/>
      <c r="E1167" s="352"/>
      <c r="F1167" s="345"/>
      <c r="G1167" s="339"/>
    </row>
    <row r="1168" spans="1:7" s="278" customFormat="1">
      <c r="A1168" s="344"/>
      <c r="B1168" s="315"/>
      <c r="C1168" s="315"/>
      <c r="D1168" s="316"/>
      <c r="E1168" s="352"/>
      <c r="F1168" s="345"/>
      <c r="G1168" s="339"/>
    </row>
    <row r="1169" spans="1:7" s="278" customFormat="1">
      <c r="A1169" s="344"/>
      <c r="B1169" s="315"/>
      <c r="C1169" s="315"/>
      <c r="D1169" s="316"/>
      <c r="E1169" s="352"/>
      <c r="F1169" s="345"/>
      <c r="G1169" s="339"/>
    </row>
    <row r="1170" spans="1:7" s="278" customFormat="1">
      <c r="A1170" s="344"/>
      <c r="B1170" s="315"/>
      <c r="C1170" s="315"/>
      <c r="D1170" s="316"/>
      <c r="E1170" s="352"/>
      <c r="F1170" s="345"/>
      <c r="G1170" s="339"/>
    </row>
    <row r="1171" spans="1:7" s="278" customFormat="1">
      <c r="A1171" s="344"/>
      <c r="B1171" s="315"/>
      <c r="C1171" s="315"/>
      <c r="D1171" s="316"/>
      <c r="E1171" s="352"/>
      <c r="F1171" s="345"/>
      <c r="G1171" s="339"/>
    </row>
    <row r="1172" spans="1:7" s="278" customFormat="1">
      <c r="A1172" s="344"/>
      <c r="B1172" s="315"/>
      <c r="C1172" s="315"/>
      <c r="D1172" s="316"/>
      <c r="E1172" s="352"/>
      <c r="F1172" s="345"/>
      <c r="G1172" s="339"/>
    </row>
    <row r="1173" spans="1:7" s="278" customFormat="1">
      <c r="A1173" s="344"/>
      <c r="B1173" s="315"/>
      <c r="C1173" s="315"/>
      <c r="D1173" s="316"/>
      <c r="E1173" s="352"/>
      <c r="F1173" s="345"/>
      <c r="G1173" s="339"/>
    </row>
    <row r="1174" spans="1:7" s="278" customFormat="1">
      <c r="A1174" s="344"/>
      <c r="B1174" s="315"/>
      <c r="C1174" s="315"/>
      <c r="D1174" s="316"/>
      <c r="E1174" s="352"/>
      <c r="F1174" s="345"/>
      <c r="G1174" s="339"/>
    </row>
  </sheetData>
  <sheetProtection password="C891" sheet="1" objects="1" scenarios="1"/>
  <mergeCells count="1">
    <mergeCell ref="B647:C647"/>
  </mergeCells>
  <phoneticPr fontId="30" type="noConversion"/>
  <pageMargins left="0.70866141732283472" right="0.70866141732283472" top="0.74803149606299213" bottom="0.74803149606299213" header="0.31496062992125984" footer="0.31496062992125984"/>
  <pageSetup paperSize="9" scale="78" orientation="portrait" r:id="rId1"/>
  <headerFooter>
    <oddHeader xml:space="preserve">&amp;L&amp;10Investitor: Hrvatski institut za povijest&amp;C&amp;10Troškovnik - građevinskih i obrtničkih 
radova
&amp;R&amp;10datum:
lipanj  2025.
</oddHeader>
    <oddFooter>&amp;C&amp;10Građevina:
Palača bogoštovlja i nastave&amp;R&amp;10str.: &amp;P od &amp;N</oddFooter>
  </headerFooter>
  <rowBreaks count="4" manualBreakCount="4">
    <brk id="83" max="5" man="1"/>
    <brk id="410" max="5" man="1"/>
    <brk id="604" max="5" man="1"/>
    <brk id="1010"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66"/>
  </sheetPr>
  <dimension ref="A1:Q1703"/>
  <sheetViews>
    <sheetView topLeftCell="A1576" zoomScaleNormal="100" workbookViewId="0">
      <selection activeCell="D1582" sqref="D1582"/>
    </sheetView>
  </sheetViews>
  <sheetFormatPr defaultColWidth="8.85546875" defaultRowHeight="15"/>
  <cols>
    <col min="1" max="1" width="10.85546875" style="344" customWidth="1"/>
    <col min="2" max="2" width="55.7109375" style="315" customWidth="1"/>
    <col min="3" max="3" width="8.7109375" style="575" customWidth="1"/>
    <col min="4" max="4" width="11.28515625" style="316" customWidth="1"/>
    <col min="5" max="5" width="11.28515625" style="352" customWidth="1"/>
    <col min="6" max="6" width="13.7109375" style="345" customWidth="1"/>
    <col min="7" max="16384" width="8.85546875" style="308"/>
  </cols>
  <sheetData>
    <row r="1" spans="1:6" s="278" customFormat="1">
      <c r="A1" s="273" t="s">
        <v>106</v>
      </c>
      <c r="B1" s="274"/>
      <c r="C1" s="528" t="s">
        <v>105</v>
      </c>
      <c r="D1" s="276"/>
      <c r="E1" s="347" t="s">
        <v>104</v>
      </c>
      <c r="F1" s="277" t="s">
        <v>103</v>
      </c>
    </row>
    <row r="2" spans="1:6" s="278" customFormat="1">
      <c r="A2" s="279" t="s">
        <v>102</v>
      </c>
      <c r="B2" s="280" t="s">
        <v>101</v>
      </c>
      <c r="C2" s="529" t="s">
        <v>100</v>
      </c>
      <c r="D2" s="282" t="s">
        <v>99</v>
      </c>
      <c r="E2" s="348" t="s">
        <v>98</v>
      </c>
      <c r="F2" s="283" t="s">
        <v>98</v>
      </c>
    </row>
    <row r="3" spans="1:6" s="278" customFormat="1">
      <c r="A3" s="284"/>
      <c r="B3" s="285"/>
      <c r="C3" s="530"/>
      <c r="D3" s="287"/>
      <c r="E3" s="13"/>
      <c r="F3" s="288"/>
    </row>
    <row r="4" spans="1:6" s="278" customFormat="1">
      <c r="A4" s="289" t="s">
        <v>97</v>
      </c>
      <c r="B4" s="290" t="s">
        <v>96</v>
      </c>
      <c r="C4" s="531"/>
      <c r="D4" s="292"/>
      <c r="E4" s="349"/>
      <c r="F4" s="293"/>
    </row>
    <row r="5" spans="1:6" s="278" customFormat="1">
      <c r="A5" s="284"/>
      <c r="B5" s="294"/>
      <c r="C5" s="530"/>
      <c r="D5" s="287"/>
      <c r="E5" s="13"/>
      <c r="F5" s="288"/>
    </row>
    <row r="6" spans="1:6" s="278" customFormat="1">
      <c r="A6" s="289" t="s">
        <v>108</v>
      </c>
      <c r="B6" s="290" t="s">
        <v>163</v>
      </c>
      <c r="C6" s="532"/>
      <c r="D6" s="296"/>
      <c r="E6" s="350"/>
      <c r="F6" s="297"/>
    </row>
    <row r="7" spans="1:6" s="278" customFormat="1">
      <c r="A7" s="284"/>
      <c r="B7" s="294"/>
      <c r="C7" s="530"/>
      <c r="D7" s="287"/>
      <c r="E7" s="13"/>
      <c r="F7" s="288"/>
    </row>
    <row r="8" spans="1:6" s="278" customFormat="1" ht="60">
      <c r="A8" s="284"/>
      <c r="B8" s="533" t="s">
        <v>4571</v>
      </c>
      <c r="C8" s="530"/>
      <c r="D8" s="287"/>
      <c r="E8" s="13"/>
      <c r="F8" s="288"/>
    </row>
    <row r="9" spans="1:6" s="278" customFormat="1">
      <c r="A9" s="284"/>
      <c r="B9" s="294"/>
      <c r="C9" s="530"/>
      <c r="D9" s="287"/>
      <c r="E9" s="13"/>
      <c r="F9" s="288"/>
    </row>
    <row r="10" spans="1:6" s="278" customFormat="1">
      <c r="A10" s="289" t="s">
        <v>121</v>
      </c>
      <c r="B10" s="290" t="s">
        <v>162</v>
      </c>
      <c r="C10" s="534"/>
      <c r="D10" s="535"/>
      <c r="E10" s="654"/>
      <c r="F10" s="536"/>
    </row>
    <row r="11" spans="1:6" s="278" customFormat="1">
      <c r="A11" s="284"/>
      <c r="B11" s="294"/>
      <c r="C11" s="530"/>
      <c r="D11" s="287"/>
      <c r="E11" s="13"/>
      <c r="F11" s="288"/>
    </row>
    <row r="12" spans="1:6" s="278" customFormat="1" ht="63.75">
      <c r="A12" s="284"/>
      <c r="B12" s="537" t="s">
        <v>4569</v>
      </c>
      <c r="C12" s="530"/>
      <c r="D12" s="287"/>
      <c r="E12" s="13"/>
      <c r="F12" s="288"/>
    </row>
    <row r="13" spans="1:6" s="278" customFormat="1" ht="45">
      <c r="A13" s="284"/>
      <c r="B13" s="533" t="s">
        <v>4570</v>
      </c>
      <c r="C13" s="530"/>
      <c r="D13" s="287"/>
      <c r="E13" s="13"/>
      <c r="F13" s="288"/>
    </row>
    <row r="14" spans="1:6" s="278" customFormat="1">
      <c r="A14" s="284"/>
      <c r="B14" s="294"/>
      <c r="C14" s="530"/>
      <c r="D14" s="287"/>
      <c r="E14" s="13"/>
      <c r="F14" s="288"/>
    </row>
    <row r="15" spans="1:6" s="278" customFormat="1">
      <c r="A15" s="284"/>
      <c r="B15" s="294" t="s">
        <v>161</v>
      </c>
      <c r="C15" s="530"/>
      <c r="D15" s="287"/>
      <c r="E15" s="13"/>
      <c r="F15" s="288"/>
    </row>
    <row r="16" spans="1:6" s="278" customFormat="1">
      <c r="A16" s="284"/>
      <c r="B16" s="294"/>
      <c r="C16" s="530"/>
      <c r="D16" s="287"/>
      <c r="E16" s="13"/>
      <c r="F16" s="288"/>
    </row>
    <row r="17" spans="1:6" s="278" customFormat="1">
      <c r="A17" s="538">
        <v>1</v>
      </c>
      <c r="B17" s="294" t="s">
        <v>216</v>
      </c>
      <c r="C17" s="530"/>
      <c r="D17" s="287"/>
      <c r="E17" s="13"/>
      <c r="F17" s="302">
        <f t="shared" ref="F17:F23" si="0">E17*D17</f>
        <v>0</v>
      </c>
    </row>
    <row r="18" spans="1:6" s="278" customFormat="1" ht="25.5">
      <c r="A18" s="284"/>
      <c r="B18" s="406" t="s">
        <v>217</v>
      </c>
      <c r="C18" s="530"/>
      <c r="D18" s="287"/>
      <c r="E18" s="13"/>
      <c r="F18" s="302">
        <f t="shared" si="0"/>
        <v>0</v>
      </c>
    </row>
    <row r="19" spans="1:6" s="278" customFormat="1" ht="28.5" customHeight="1">
      <c r="A19" s="284"/>
      <c r="B19" s="406" t="s">
        <v>159</v>
      </c>
      <c r="C19" s="530"/>
      <c r="D19" s="287"/>
      <c r="E19" s="13"/>
      <c r="F19" s="302">
        <f t="shared" si="0"/>
        <v>0</v>
      </c>
    </row>
    <row r="20" spans="1:6" s="278" customFormat="1" ht="38.25">
      <c r="A20" s="284"/>
      <c r="B20" s="406" t="s">
        <v>218</v>
      </c>
      <c r="C20" s="530"/>
      <c r="D20" s="287"/>
      <c r="E20" s="13"/>
      <c r="F20" s="302">
        <f t="shared" si="0"/>
        <v>0</v>
      </c>
    </row>
    <row r="21" spans="1:6" s="278" customFormat="1" ht="38.25">
      <c r="A21" s="284"/>
      <c r="B21" s="406" t="s">
        <v>160</v>
      </c>
      <c r="C21" s="530"/>
      <c r="D21" s="287"/>
      <c r="E21" s="13"/>
      <c r="F21" s="302">
        <f t="shared" si="0"/>
        <v>0</v>
      </c>
    </row>
    <row r="22" spans="1:6" s="278" customFormat="1" ht="25.5">
      <c r="A22" s="284"/>
      <c r="B22" s="406" t="s">
        <v>154</v>
      </c>
      <c r="C22" s="530"/>
      <c r="D22" s="287"/>
      <c r="E22" s="13"/>
      <c r="F22" s="302">
        <f t="shared" si="0"/>
        <v>0</v>
      </c>
    </row>
    <row r="23" spans="1:6" s="278" customFormat="1">
      <c r="A23" s="284"/>
      <c r="B23" s="406" t="s">
        <v>377</v>
      </c>
      <c r="C23" s="530"/>
      <c r="D23" s="287"/>
      <c r="E23" s="13"/>
      <c r="F23" s="302">
        <f t="shared" si="0"/>
        <v>0</v>
      </c>
    </row>
    <row r="24" spans="1:6" s="278" customFormat="1">
      <c r="A24" s="284"/>
      <c r="B24" s="406" t="s">
        <v>157</v>
      </c>
      <c r="C24" s="539" t="s">
        <v>27</v>
      </c>
      <c r="D24" s="287">
        <v>6.9</v>
      </c>
      <c r="E24" s="45"/>
      <c r="F24" s="302">
        <f>E24*D24</f>
        <v>0</v>
      </c>
    </row>
    <row r="25" spans="1:6">
      <c r="A25" s="540"/>
      <c r="B25" s="541"/>
      <c r="C25" s="542"/>
      <c r="D25" s="543"/>
      <c r="E25" s="655"/>
      <c r="F25" s="302">
        <f t="shared" ref="F25:F88" si="1">E25*D25</f>
        <v>0</v>
      </c>
    </row>
    <row r="26" spans="1:6" s="278" customFormat="1">
      <c r="A26" s="538">
        <f>IF(B26&gt;0,MAX(A16:A$17)+1,"")</f>
        <v>2</v>
      </c>
      <c r="B26" s="294" t="s">
        <v>216</v>
      </c>
      <c r="C26" s="530"/>
      <c r="D26" s="287"/>
      <c r="E26" s="13"/>
      <c r="F26" s="302">
        <f t="shared" si="1"/>
        <v>0</v>
      </c>
    </row>
    <row r="27" spans="1:6" s="278" customFormat="1" ht="25.5">
      <c r="A27" s="284"/>
      <c r="B27" s="406" t="s">
        <v>217</v>
      </c>
      <c r="C27" s="530"/>
      <c r="D27" s="287"/>
      <c r="E27" s="13"/>
      <c r="F27" s="302">
        <f t="shared" si="1"/>
        <v>0</v>
      </c>
    </row>
    <row r="28" spans="1:6" s="278" customFormat="1" ht="28.5" customHeight="1">
      <c r="A28" s="284"/>
      <c r="B28" s="406" t="s">
        <v>159</v>
      </c>
      <c r="C28" s="530"/>
      <c r="D28" s="287"/>
      <c r="E28" s="13"/>
      <c r="F28" s="302">
        <f t="shared" si="1"/>
        <v>0</v>
      </c>
    </row>
    <row r="29" spans="1:6" s="278" customFormat="1" ht="38.25">
      <c r="A29" s="284"/>
      <c r="B29" s="406" t="s">
        <v>218</v>
      </c>
      <c r="C29" s="530"/>
      <c r="D29" s="287"/>
      <c r="E29" s="13"/>
      <c r="F29" s="302">
        <f t="shared" si="1"/>
        <v>0</v>
      </c>
    </row>
    <row r="30" spans="1:6" s="278" customFormat="1" ht="38.25">
      <c r="A30" s="284"/>
      <c r="B30" s="406" t="s">
        <v>158</v>
      </c>
      <c r="C30" s="530"/>
      <c r="D30" s="287"/>
      <c r="E30" s="13"/>
      <c r="F30" s="302">
        <f t="shared" si="1"/>
        <v>0</v>
      </c>
    </row>
    <row r="31" spans="1:6" s="278" customFormat="1" ht="25.5">
      <c r="A31" s="284"/>
      <c r="B31" s="406" t="s">
        <v>154</v>
      </c>
      <c r="C31" s="530"/>
      <c r="D31" s="287"/>
      <c r="E31" s="13"/>
      <c r="F31" s="302">
        <f t="shared" si="1"/>
        <v>0</v>
      </c>
    </row>
    <row r="32" spans="1:6" s="278" customFormat="1">
      <c r="A32" s="284"/>
      <c r="B32" s="406" t="s">
        <v>377</v>
      </c>
      <c r="C32" s="530"/>
      <c r="D32" s="287"/>
      <c r="E32" s="13"/>
      <c r="F32" s="302">
        <f t="shared" si="1"/>
        <v>0</v>
      </c>
    </row>
    <row r="33" spans="1:6" s="278" customFormat="1">
      <c r="A33" s="284"/>
      <c r="B33" s="406" t="s">
        <v>157</v>
      </c>
      <c r="C33" s="539" t="s">
        <v>27</v>
      </c>
      <c r="D33" s="287">
        <f>8.5+8.7+16.1</f>
        <v>33.299999999999997</v>
      </c>
      <c r="E33" s="45"/>
      <c r="F33" s="302">
        <f t="shared" si="1"/>
        <v>0</v>
      </c>
    </row>
    <row r="34" spans="1:6">
      <c r="A34" s="540"/>
      <c r="B34" s="541"/>
      <c r="C34" s="542"/>
      <c r="D34" s="543"/>
      <c r="E34" s="655"/>
      <c r="F34" s="302">
        <f t="shared" si="1"/>
        <v>0</v>
      </c>
    </row>
    <row r="35" spans="1:6" s="278" customFormat="1">
      <c r="A35" s="538">
        <f>IF(B35&gt;0,MAX(A$17:A34)+1,"")</f>
        <v>3</v>
      </c>
      <c r="B35" s="294" t="s">
        <v>216</v>
      </c>
      <c r="C35" s="530"/>
      <c r="D35" s="287"/>
      <c r="E35" s="13"/>
      <c r="F35" s="302">
        <f t="shared" si="1"/>
        <v>0</v>
      </c>
    </row>
    <row r="36" spans="1:6" s="278" customFormat="1" ht="25.5">
      <c r="A36" s="284"/>
      <c r="B36" s="406" t="s">
        <v>217</v>
      </c>
      <c r="C36" s="530"/>
      <c r="D36" s="287"/>
      <c r="E36" s="13"/>
      <c r="F36" s="302">
        <f t="shared" si="1"/>
        <v>0</v>
      </c>
    </row>
    <row r="37" spans="1:6" s="278" customFormat="1" ht="28.5" customHeight="1">
      <c r="A37" s="284"/>
      <c r="B37" s="406" t="s">
        <v>219</v>
      </c>
      <c r="C37" s="530"/>
      <c r="D37" s="287"/>
      <c r="E37" s="13"/>
      <c r="F37" s="302">
        <f t="shared" si="1"/>
        <v>0</v>
      </c>
    </row>
    <row r="38" spans="1:6" s="278" customFormat="1" ht="38.25">
      <c r="A38" s="284"/>
      <c r="B38" s="406" t="s">
        <v>218</v>
      </c>
      <c r="C38" s="530"/>
      <c r="D38" s="287"/>
      <c r="E38" s="13"/>
      <c r="F38" s="302">
        <f t="shared" si="1"/>
        <v>0</v>
      </c>
    </row>
    <row r="39" spans="1:6" s="278" customFormat="1" ht="38.25">
      <c r="A39" s="284"/>
      <c r="B39" s="406" t="s">
        <v>158</v>
      </c>
      <c r="C39" s="530"/>
      <c r="D39" s="287"/>
      <c r="E39" s="13"/>
      <c r="F39" s="302">
        <f t="shared" si="1"/>
        <v>0</v>
      </c>
    </row>
    <row r="40" spans="1:6" s="278" customFormat="1" ht="25.5">
      <c r="A40" s="284"/>
      <c r="B40" s="406" t="s">
        <v>154</v>
      </c>
      <c r="C40" s="530"/>
      <c r="D40" s="287"/>
      <c r="E40" s="13"/>
      <c r="F40" s="302">
        <f t="shared" si="1"/>
        <v>0</v>
      </c>
    </row>
    <row r="41" spans="1:6" s="278" customFormat="1">
      <c r="A41" s="284"/>
      <c r="B41" s="406" t="s">
        <v>377</v>
      </c>
      <c r="C41" s="530"/>
      <c r="D41" s="287"/>
      <c r="E41" s="13"/>
      <c r="F41" s="302">
        <f t="shared" si="1"/>
        <v>0</v>
      </c>
    </row>
    <row r="42" spans="1:6" s="278" customFormat="1">
      <c r="A42" s="284"/>
      <c r="B42" s="406" t="s">
        <v>157</v>
      </c>
      <c r="C42" s="539" t="s">
        <v>27</v>
      </c>
      <c r="D42" s="287">
        <f>15.5+19.5+3.6+22</f>
        <v>60.6</v>
      </c>
      <c r="E42" s="45"/>
      <c r="F42" s="302">
        <f t="shared" si="1"/>
        <v>0</v>
      </c>
    </row>
    <row r="43" spans="1:6">
      <c r="A43" s="540"/>
      <c r="B43" s="483"/>
      <c r="C43" s="544"/>
      <c r="D43" s="543"/>
      <c r="F43" s="302">
        <f t="shared" si="1"/>
        <v>0</v>
      </c>
    </row>
    <row r="44" spans="1:6" s="278" customFormat="1">
      <c r="A44" s="538">
        <f>IF(B44&gt;0,MAX(A$17:A43)+1,"")</f>
        <v>4</v>
      </c>
      <c r="B44" s="294" t="s">
        <v>220</v>
      </c>
      <c r="C44" s="530"/>
      <c r="D44" s="287"/>
      <c r="E44" s="13"/>
      <c r="F44" s="302">
        <f t="shared" si="1"/>
        <v>0</v>
      </c>
    </row>
    <row r="45" spans="1:6" s="278" customFormat="1" ht="25.5">
      <c r="A45" s="284"/>
      <c r="B45" s="406" t="s">
        <v>221</v>
      </c>
      <c r="C45" s="530"/>
      <c r="D45" s="287"/>
      <c r="E45" s="13"/>
      <c r="F45" s="302">
        <f t="shared" si="1"/>
        <v>0</v>
      </c>
    </row>
    <row r="46" spans="1:6" s="278" customFormat="1" ht="28.5" customHeight="1">
      <c r="A46" s="284"/>
      <c r="B46" s="406" t="s">
        <v>170</v>
      </c>
      <c r="C46" s="530"/>
      <c r="D46" s="287"/>
      <c r="E46" s="13"/>
      <c r="F46" s="302">
        <f t="shared" si="1"/>
        <v>0</v>
      </c>
    </row>
    <row r="47" spans="1:6" s="278" customFormat="1" ht="38.25">
      <c r="A47" s="284"/>
      <c r="B47" s="406" t="s">
        <v>379</v>
      </c>
      <c r="C47" s="530"/>
      <c r="D47" s="287"/>
      <c r="E47" s="13"/>
      <c r="F47" s="302">
        <f t="shared" si="1"/>
        <v>0</v>
      </c>
    </row>
    <row r="48" spans="1:6" s="278" customFormat="1" ht="38.25">
      <c r="A48" s="284"/>
      <c r="B48" s="406" t="s">
        <v>160</v>
      </c>
      <c r="C48" s="530"/>
      <c r="D48" s="287"/>
      <c r="E48" s="13"/>
      <c r="F48" s="302">
        <f t="shared" si="1"/>
        <v>0</v>
      </c>
    </row>
    <row r="49" spans="1:6" s="278" customFormat="1" ht="36.75" customHeight="1">
      <c r="A49" s="284"/>
      <c r="B49" s="406" t="s">
        <v>154</v>
      </c>
      <c r="C49" s="530"/>
      <c r="D49" s="287"/>
      <c r="E49" s="13"/>
      <c r="F49" s="302">
        <f t="shared" si="1"/>
        <v>0</v>
      </c>
    </row>
    <row r="50" spans="1:6" s="278" customFormat="1">
      <c r="A50" s="284"/>
      <c r="B50" s="406" t="s">
        <v>378</v>
      </c>
      <c r="C50" s="530"/>
      <c r="D50" s="287"/>
      <c r="E50" s="13"/>
      <c r="F50" s="302">
        <f t="shared" si="1"/>
        <v>0</v>
      </c>
    </row>
    <row r="51" spans="1:6" s="278" customFormat="1">
      <c r="A51" s="284"/>
      <c r="B51" s="406" t="s">
        <v>157</v>
      </c>
      <c r="C51" s="539" t="s">
        <v>27</v>
      </c>
      <c r="D51" s="287">
        <v>165.9</v>
      </c>
      <c r="E51" s="45"/>
      <c r="F51" s="302">
        <f t="shared" si="1"/>
        <v>0</v>
      </c>
    </row>
    <row r="52" spans="1:6">
      <c r="A52" s="540"/>
      <c r="B52" s="541"/>
      <c r="C52" s="542"/>
      <c r="D52" s="543"/>
      <c r="E52" s="655"/>
      <c r="F52" s="302">
        <f t="shared" si="1"/>
        <v>0</v>
      </c>
    </row>
    <row r="53" spans="1:6" s="278" customFormat="1">
      <c r="A53" s="538">
        <f>IF(B53&gt;0,MAX(A$17:A52)+1,"")</f>
        <v>5</v>
      </c>
      <c r="B53" s="294" t="s">
        <v>220</v>
      </c>
      <c r="C53" s="530"/>
      <c r="D53" s="287"/>
      <c r="E53" s="13"/>
      <c r="F53" s="302">
        <f t="shared" si="1"/>
        <v>0</v>
      </c>
    </row>
    <row r="54" spans="1:6" s="278" customFormat="1" ht="25.5">
      <c r="A54" s="284"/>
      <c r="B54" s="406" t="s">
        <v>221</v>
      </c>
      <c r="C54" s="530"/>
      <c r="D54" s="287"/>
      <c r="E54" s="13"/>
      <c r="F54" s="302">
        <f t="shared" si="1"/>
        <v>0</v>
      </c>
    </row>
    <row r="55" spans="1:6" s="278" customFormat="1" ht="28.5" customHeight="1">
      <c r="A55" s="284"/>
      <c r="B55" s="406" t="s">
        <v>155</v>
      </c>
      <c r="C55" s="530"/>
      <c r="D55" s="287"/>
      <c r="E55" s="13"/>
      <c r="F55" s="302">
        <f t="shared" si="1"/>
        <v>0</v>
      </c>
    </row>
    <row r="56" spans="1:6" s="278" customFormat="1" ht="38.25">
      <c r="A56" s="284"/>
      <c r="B56" s="406" t="s">
        <v>379</v>
      </c>
      <c r="C56" s="530"/>
      <c r="D56" s="287"/>
      <c r="E56" s="13"/>
      <c r="F56" s="302">
        <f t="shared" si="1"/>
        <v>0</v>
      </c>
    </row>
    <row r="57" spans="1:6" s="278" customFormat="1" ht="38.25">
      <c r="A57" s="284"/>
      <c r="B57" s="406" t="s">
        <v>160</v>
      </c>
      <c r="C57" s="530"/>
      <c r="D57" s="287"/>
      <c r="E57" s="13"/>
      <c r="F57" s="302">
        <f t="shared" si="1"/>
        <v>0</v>
      </c>
    </row>
    <row r="58" spans="1:6" s="278" customFormat="1" ht="36.75" customHeight="1">
      <c r="A58" s="284"/>
      <c r="B58" s="406" t="s">
        <v>154</v>
      </c>
      <c r="C58" s="530"/>
      <c r="D58" s="287"/>
      <c r="E58" s="13"/>
      <c r="F58" s="302">
        <f t="shared" si="1"/>
        <v>0</v>
      </c>
    </row>
    <row r="59" spans="1:6" s="278" customFormat="1">
      <c r="A59" s="284"/>
      <c r="B59" s="406" t="s">
        <v>378</v>
      </c>
      <c r="C59" s="530"/>
      <c r="D59" s="287"/>
      <c r="E59" s="13"/>
      <c r="F59" s="302">
        <f t="shared" si="1"/>
        <v>0</v>
      </c>
    </row>
    <row r="60" spans="1:6" s="278" customFormat="1">
      <c r="A60" s="284"/>
      <c r="B60" s="406" t="s">
        <v>157</v>
      </c>
      <c r="C60" s="539" t="s">
        <v>27</v>
      </c>
      <c r="D60" s="287">
        <v>25.4</v>
      </c>
      <c r="E60" s="45"/>
      <c r="F60" s="302">
        <f t="shared" si="1"/>
        <v>0</v>
      </c>
    </row>
    <row r="61" spans="1:6" s="278" customFormat="1">
      <c r="A61" s="284"/>
      <c r="B61" s="406"/>
      <c r="C61" s="539"/>
      <c r="D61" s="287"/>
      <c r="E61" s="45"/>
      <c r="F61" s="302">
        <f t="shared" si="1"/>
        <v>0</v>
      </c>
    </row>
    <row r="62" spans="1:6" s="278" customFormat="1">
      <c r="A62" s="538">
        <f>IF(B62&gt;0,MAX(A$17:A61)+1,"")</f>
        <v>6</v>
      </c>
      <c r="B62" s="294" t="s">
        <v>220</v>
      </c>
      <c r="C62" s="530"/>
      <c r="D62" s="287"/>
      <c r="E62" s="13"/>
      <c r="F62" s="302">
        <f t="shared" si="1"/>
        <v>0</v>
      </c>
    </row>
    <row r="63" spans="1:6" s="278" customFormat="1" ht="25.5">
      <c r="A63" s="284"/>
      <c r="B63" s="406" t="s">
        <v>221</v>
      </c>
      <c r="C63" s="530"/>
      <c r="D63" s="287"/>
      <c r="E63" s="13"/>
      <c r="F63" s="302">
        <f t="shared" si="1"/>
        <v>0</v>
      </c>
    </row>
    <row r="64" spans="1:6" s="278" customFormat="1" ht="28.5" customHeight="1">
      <c r="A64" s="284"/>
      <c r="B64" s="406" t="s">
        <v>155</v>
      </c>
      <c r="C64" s="530"/>
      <c r="D64" s="287"/>
      <c r="E64" s="13"/>
      <c r="F64" s="302">
        <f t="shared" si="1"/>
        <v>0</v>
      </c>
    </row>
    <row r="65" spans="1:6" s="278" customFormat="1" ht="38.25">
      <c r="A65" s="284"/>
      <c r="B65" s="406" t="s">
        <v>379</v>
      </c>
      <c r="C65" s="530"/>
      <c r="D65" s="287"/>
      <c r="E65" s="13"/>
      <c r="F65" s="302">
        <f t="shared" si="1"/>
        <v>0</v>
      </c>
    </row>
    <row r="66" spans="1:6" s="278" customFormat="1" ht="38.25">
      <c r="A66" s="284"/>
      <c r="B66" s="406" t="s">
        <v>158</v>
      </c>
      <c r="C66" s="530"/>
      <c r="D66" s="287"/>
      <c r="E66" s="13"/>
      <c r="F66" s="302">
        <f t="shared" si="1"/>
        <v>0</v>
      </c>
    </row>
    <row r="67" spans="1:6" s="278" customFormat="1" ht="25.5">
      <c r="A67" s="284"/>
      <c r="B67" s="406" t="s">
        <v>154</v>
      </c>
      <c r="C67" s="530"/>
      <c r="D67" s="287"/>
      <c r="E67" s="13"/>
      <c r="F67" s="302">
        <f t="shared" si="1"/>
        <v>0</v>
      </c>
    </row>
    <row r="68" spans="1:6" s="278" customFormat="1">
      <c r="A68" s="284"/>
      <c r="B68" s="406" t="s">
        <v>378</v>
      </c>
      <c r="C68" s="530"/>
      <c r="D68" s="287"/>
      <c r="E68" s="13"/>
      <c r="F68" s="302">
        <f t="shared" si="1"/>
        <v>0</v>
      </c>
    </row>
    <row r="69" spans="1:6" s="278" customFormat="1">
      <c r="A69" s="284"/>
      <c r="B69" s="406" t="s">
        <v>157</v>
      </c>
      <c r="C69" s="539" t="s">
        <v>27</v>
      </c>
      <c r="D69" s="287">
        <f>30.4+22.7+20.8+12</f>
        <v>85.9</v>
      </c>
      <c r="E69" s="45"/>
      <c r="F69" s="302">
        <f t="shared" si="1"/>
        <v>0</v>
      </c>
    </row>
    <row r="70" spans="1:6" s="278" customFormat="1">
      <c r="A70" s="284"/>
      <c r="B70" s="406"/>
      <c r="C70" s="539"/>
      <c r="D70" s="287"/>
      <c r="E70" s="45"/>
      <c r="F70" s="302">
        <f t="shared" si="1"/>
        <v>0</v>
      </c>
    </row>
    <row r="71" spans="1:6" s="278" customFormat="1">
      <c r="A71" s="538">
        <f>IF(B71&gt;0,MAX(A$17:A70)+1,"")</f>
        <v>7</v>
      </c>
      <c r="B71" s="294" t="s">
        <v>380</v>
      </c>
      <c r="C71" s="530"/>
      <c r="D71" s="287"/>
      <c r="E71" s="13"/>
      <c r="F71" s="302">
        <f t="shared" si="1"/>
        <v>0</v>
      </c>
    </row>
    <row r="72" spans="1:6" s="278" customFormat="1" ht="38.25">
      <c r="A72" s="284"/>
      <c r="B72" s="406" t="s">
        <v>915</v>
      </c>
      <c r="C72" s="530"/>
      <c r="D72" s="287"/>
      <c r="E72" s="13"/>
      <c r="F72" s="302">
        <f t="shared" si="1"/>
        <v>0</v>
      </c>
    </row>
    <row r="73" spans="1:6" s="278" customFormat="1" ht="28.5" customHeight="1">
      <c r="A73" s="284"/>
      <c r="B73" s="406" t="s">
        <v>159</v>
      </c>
      <c r="C73" s="530"/>
      <c r="D73" s="287"/>
      <c r="E73" s="13"/>
      <c r="F73" s="302">
        <f t="shared" si="1"/>
        <v>0</v>
      </c>
    </row>
    <row r="74" spans="1:6" s="278" customFormat="1" ht="38.25">
      <c r="A74" s="284"/>
      <c r="B74" s="406" t="s">
        <v>222</v>
      </c>
      <c r="C74" s="530"/>
      <c r="D74" s="287"/>
      <c r="E74" s="13"/>
      <c r="F74" s="302">
        <f t="shared" si="1"/>
        <v>0</v>
      </c>
    </row>
    <row r="75" spans="1:6" s="278" customFormat="1">
      <c r="A75" s="284"/>
      <c r="B75" s="406" t="s">
        <v>381</v>
      </c>
      <c r="C75" s="530"/>
      <c r="D75" s="287"/>
      <c r="E75" s="13"/>
      <c r="F75" s="302">
        <f t="shared" si="1"/>
        <v>0</v>
      </c>
    </row>
    <row r="76" spans="1:6" s="278" customFormat="1" ht="38.25">
      <c r="A76" s="284"/>
      <c r="B76" s="406" t="s">
        <v>223</v>
      </c>
      <c r="C76" s="530"/>
      <c r="D76" s="287"/>
      <c r="E76" s="13"/>
      <c r="F76" s="302">
        <f t="shared" si="1"/>
        <v>0</v>
      </c>
    </row>
    <row r="77" spans="1:6" s="278" customFormat="1" ht="25.5">
      <c r="A77" s="284"/>
      <c r="B77" s="406" t="s">
        <v>154</v>
      </c>
      <c r="C77" s="530"/>
      <c r="D77" s="287"/>
      <c r="E77" s="13"/>
      <c r="F77" s="302">
        <f t="shared" si="1"/>
        <v>0</v>
      </c>
    </row>
    <row r="78" spans="1:6" s="278" customFormat="1">
      <c r="A78" s="284"/>
      <c r="B78" s="406" t="s">
        <v>382</v>
      </c>
      <c r="C78" s="530"/>
      <c r="D78" s="287"/>
      <c r="E78" s="13"/>
      <c r="F78" s="302">
        <f t="shared" si="1"/>
        <v>0</v>
      </c>
    </row>
    <row r="79" spans="1:6" s="278" customFormat="1">
      <c r="A79" s="284"/>
      <c r="B79" s="406" t="s">
        <v>157</v>
      </c>
      <c r="C79" s="539" t="s">
        <v>27</v>
      </c>
      <c r="D79" s="287">
        <v>5.7</v>
      </c>
      <c r="E79" s="45"/>
      <c r="F79" s="302">
        <f t="shared" si="1"/>
        <v>0</v>
      </c>
    </row>
    <row r="80" spans="1:6">
      <c r="A80" s="540"/>
      <c r="B80" s="483"/>
      <c r="C80" s="544"/>
      <c r="D80" s="543"/>
      <c r="F80" s="302">
        <f t="shared" si="1"/>
        <v>0</v>
      </c>
    </row>
    <row r="81" spans="1:6" s="278" customFormat="1">
      <c r="A81" s="538">
        <f>IF(B81&gt;0,MAX(A$17:A80)+1,"")</f>
        <v>8</v>
      </c>
      <c r="B81" s="294" t="s">
        <v>383</v>
      </c>
      <c r="C81" s="530"/>
      <c r="D81" s="287"/>
      <c r="E81" s="13"/>
      <c r="F81" s="302">
        <f t="shared" si="1"/>
        <v>0</v>
      </c>
    </row>
    <row r="82" spans="1:6" s="278" customFormat="1" ht="38.25">
      <c r="A82" s="284"/>
      <c r="B82" s="406" t="s">
        <v>916</v>
      </c>
      <c r="C82" s="530"/>
      <c r="D82" s="287"/>
      <c r="E82" s="13"/>
      <c r="F82" s="302">
        <f t="shared" si="1"/>
        <v>0</v>
      </c>
    </row>
    <row r="83" spans="1:6" s="278" customFormat="1" ht="28.5" customHeight="1">
      <c r="A83" s="284"/>
      <c r="B83" s="406" t="s">
        <v>159</v>
      </c>
      <c r="C83" s="530"/>
      <c r="D83" s="287"/>
      <c r="E83" s="13"/>
      <c r="F83" s="302">
        <f t="shared" si="1"/>
        <v>0</v>
      </c>
    </row>
    <row r="84" spans="1:6" s="278" customFormat="1" ht="38.25">
      <c r="A84" s="284"/>
      <c r="B84" s="406" t="s">
        <v>384</v>
      </c>
      <c r="C84" s="530"/>
      <c r="D84" s="287"/>
      <c r="E84" s="13"/>
      <c r="F84" s="302">
        <f t="shared" si="1"/>
        <v>0</v>
      </c>
    </row>
    <row r="85" spans="1:6" s="278" customFormat="1" ht="38.25">
      <c r="A85" s="284"/>
      <c r="B85" s="406" t="s">
        <v>160</v>
      </c>
      <c r="C85" s="530"/>
      <c r="D85" s="287"/>
      <c r="E85" s="13"/>
      <c r="F85" s="302">
        <f t="shared" si="1"/>
        <v>0</v>
      </c>
    </row>
    <row r="86" spans="1:6" s="278" customFormat="1" ht="25.5">
      <c r="A86" s="284"/>
      <c r="B86" s="406" t="s">
        <v>154</v>
      </c>
      <c r="C86" s="530"/>
      <c r="D86" s="287"/>
      <c r="E86" s="13"/>
      <c r="F86" s="302">
        <f t="shared" si="1"/>
        <v>0</v>
      </c>
    </row>
    <row r="87" spans="1:6" s="278" customFormat="1">
      <c r="A87" s="284"/>
      <c r="B87" s="406" t="s">
        <v>157</v>
      </c>
      <c r="C87" s="539" t="s">
        <v>27</v>
      </c>
      <c r="D87" s="287">
        <v>1.5</v>
      </c>
      <c r="E87" s="45"/>
      <c r="F87" s="302">
        <f t="shared" si="1"/>
        <v>0</v>
      </c>
    </row>
    <row r="88" spans="1:6" s="278" customFormat="1">
      <c r="A88" s="284"/>
      <c r="B88" s="406"/>
      <c r="C88" s="539"/>
      <c r="D88" s="287"/>
      <c r="E88" s="45"/>
      <c r="F88" s="302">
        <f t="shared" si="1"/>
        <v>0</v>
      </c>
    </row>
    <row r="89" spans="1:6" s="278" customFormat="1">
      <c r="A89" s="538">
        <f>IF(B89&gt;0,MAX(A$17:A88)+1,"")</f>
        <v>9</v>
      </c>
      <c r="B89" s="294" t="s">
        <v>401</v>
      </c>
      <c r="C89" s="530"/>
      <c r="D89" s="287"/>
      <c r="E89" s="13"/>
      <c r="F89" s="302">
        <f t="shared" ref="F89:F152" si="2">E89*D89</f>
        <v>0</v>
      </c>
    </row>
    <row r="90" spans="1:6" s="278" customFormat="1" ht="38.25">
      <c r="A90" s="284"/>
      <c r="B90" s="406" t="s">
        <v>916</v>
      </c>
      <c r="C90" s="530"/>
      <c r="D90" s="287"/>
      <c r="E90" s="13"/>
      <c r="F90" s="302">
        <f t="shared" si="2"/>
        <v>0</v>
      </c>
    </row>
    <row r="91" spans="1:6" s="278" customFormat="1" ht="28.5" customHeight="1">
      <c r="A91" s="284"/>
      <c r="B91" s="406" t="s">
        <v>399</v>
      </c>
      <c r="C91" s="530"/>
      <c r="D91" s="287"/>
      <c r="E91" s="13"/>
      <c r="F91" s="302">
        <f t="shared" si="2"/>
        <v>0</v>
      </c>
    </row>
    <row r="92" spans="1:6" s="278" customFormat="1" ht="38.25">
      <c r="A92" s="284"/>
      <c r="B92" s="406" t="s">
        <v>400</v>
      </c>
      <c r="C92" s="530"/>
      <c r="D92" s="287"/>
      <c r="E92" s="13"/>
      <c r="F92" s="302">
        <f t="shared" si="2"/>
        <v>0</v>
      </c>
    </row>
    <row r="93" spans="1:6" s="278" customFormat="1" ht="32.25" customHeight="1">
      <c r="A93" s="284"/>
      <c r="B93" s="406" t="s">
        <v>402</v>
      </c>
      <c r="C93" s="530"/>
      <c r="D93" s="287"/>
      <c r="E93" s="13"/>
      <c r="F93" s="302">
        <f t="shared" si="2"/>
        <v>0</v>
      </c>
    </row>
    <row r="94" spans="1:6" s="278" customFormat="1">
      <c r="A94" s="284"/>
      <c r="B94" s="406" t="s">
        <v>398</v>
      </c>
      <c r="C94" s="530"/>
      <c r="D94" s="287"/>
      <c r="E94" s="13"/>
      <c r="F94" s="302">
        <f t="shared" si="2"/>
        <v>0</v>
      </c>
    </row>
    <row r="95" spans="1:6" s="278" customFormat="1" ht="25.5">
      <c r="A95" s="284"/>
      <c r="B95" s="406" t="s">
        <v>154</v>
      </c>
      <c r="C95" s="530"/>
      <c r="D95" s="287"/>
      <c r="E95" s="13"/>
      <c r="F95" s="302">
        <f t="shared" si="2"/>
        <v>0</v>
      </c>
    </row>
    <row r="96" spans="1:6" s="278" customFormat="1">
      <c r="A96" s="284"/>
      <c r="B96" s="406" t="s">
        <v>157</v>
      </c>
      <c r="C96" s="539" t="s">
        <v>27</v>
      </c>
      <c r="D96" s="287">
        <v>44.7</v>
      </c>
      <c r="E96" s="45"/>
      <c r="F96" s="302">
        <f t="shared" si="2"/>
        <v>0</v>
      </c>
    </row>
    <row r="97" spans="1:6" s="278" customFormat="1">
      <c r="A97" s="284"/>
      <c r="B97" s="406"/>
      <c r="C97" s="539"/>
      <c r="D97" s="287"/>
      <c r="E97" s="45"/>
      <c r="F97" s="302">
        <f t="shared" si="2"/>
        <v>0</v>
      </c>
    </row>
    <row r="98" spans="1:6">
      <c r="A98" s="540"/>
      <c r="B98" s="294" t="s">
        <v>156</v>
      </c>
      <c r="C98" s="542"/>
      <c r="D98" s="543"/>
      <c r="E98" s="655"/>
      <c r="F98" s="302">
        <f t="shared" si="2"/>
        <v>0</v>
      </c>
    </row>
    <row r="99" spans="1:6">
      <c r="A99" s="540"/>
      <c r="B99" s="541"/>
      <c r="C99" s="542"/>
      <c r="D99" s="543"/>
      <c r="E99" s="655"/>
      <c r="F99" s="302">
        <f t="shared" si="2"/>
        <v>0</v>
      </c>
    </row>
    <row r="100" spans="1:6" s="278" customFormat="1">
      <c r="A100" s="538">
        <f>IF(B100&gt;0,MAX(A$24:A99)+1,"")</f>
        <v>10</v>
      </c>
      <c r="B100" s="294" t="s">
        <v>385</v>
      </c>
      <c r="C100" s="530"/>
      <c r="D100" s="287"/>
      <c r="E100" s="13"/>
      <c r="F100" s="302">
        <f t="shared" si="2"/>
        <v>0</v>
      </c>
    </row>
    <row r="101" spans="1:6" s="278" customFormat="1" ht="38.25">
      <c r="A101" s="284"/>
      <c r="B101" s="406" t="s">
        <v>388</v>
      </c>
      <c r="C101" s="530"/>
      <c r="D101" s="287"/>
      <c r="E101" s="13"/>
      <c r="F101" s="302">
        <f t="shared" si="2"/>
        <v>0</v>
      </c>
    </row>
    <row r="102" spans="1:6" s="278" customFormat="1" ht="30" customHeight="1">
      <c r="A102" s="284"/>
      <c r="B102" s="406" t="s">
        <v>170</v>
      </c>
      <c r="C102" s="530"/>
      <c r="D102" s="287"/>
      <c r="E102" s="13"/>
      <c r="F102" s="302">
        <f t="shared" si="2"/>
        <v>0</v>
      </c>
    </row>
    <row r="103" spans="1:6" s="278" customFormat="1" ht="25.5">
      <c r="A103" s="284"/>
      <c r="B103" s="406" t="s">
        <v>391</v>
      </c>
      <c r="C103" s="530"/>
      <c r="D103" s="287"/>
      <c r="E103" s="13"/>
      <c r="F103" s="302">
        <f t="shared" si="2"/>
        <v>0</v>
      </c>
    </row>
    <row r="104" spans="1:6" s="278" customFormat="1" ht="25.5">
      <c r="A104" s="284"/>
      <c r="B104" s="406" t="s">
        <v>154</v>
      </c>
      <c r="C104" s="530"/>
      <c r="D104" s="287"/>
      <c r="E104" s="13"/>
      <c r="F104" s="302">
        <f t="shared" si="2"/>
        <v>0</v>
      </c>
    </row>
    <row r="105" spans="1:6" s="278" customFormat="1">
      <c r="A105" s="284"/>
      <c r="B105" s="406" t="s">
        <v>386</v>
      </c>
      <c r="C105" s="539" t="s">
        <v>27</v>
      </c>
      <c r="D105" s="287">
        <f>1.7+2.2+43.1+24.6</f>
        <v>71.599999999999994</v>
      </c>
      <c r="E105" s="45"/>
      <c r="F105" s="302">
        <f t="shared" si="2"/>
        <v>0</v>
      </c>
    </row>
    <row r="106" spans="1:6">
      <c r="A106" s="540"/>
      <c r="B106" s="483"/>
      <c r="C106" s="544"/>
      <c r="D106" s="543"/>
      <c r="F106" s="302">
        <f t="shared" si="2"/>
        <v>0</v>
      </c>
    </row>
    <row r="107" spans="1:6" s="278" customFormat="1">
      <c r="A107" s="538">
        <f>IF(B107&gt;0,MAX(A$24:A106)+1,"")</f>
        <v>11</v>
      </c>
      <c r="B107" s="294" t="s">
        <v>387</v>
      </c>
      <c r="C107" s="530"/>
      <c r="D107" s="287"/>
      <c r="E107" s="13"/>
      <c r="F107" s="302">
        <f t="shared" si="2"/>
        <v>0</v>
      </c>
    </row>
    <row r="108" spans="1:6" s="278" customFormat="1" ht="76.5">
      <c r="A108" s="284"/>
      <c r="B108" s="406" t="s">
        <v>389</v>
      </c>
      <c r="C108" s="530"/>
      <c r="D108" s="287"/>
      <c r="E108" s="13"/>
      <c r="F108" s="302">
        <f t="shared" si="2"/>
        <v>0</v>
      </c>
    </row>
    <row r="109" spans="1:6" s="278" customFormat="1" ht="30" customHeight="1">
      <c r="A109" s="284"/>
      <c r="B109" s="406" t="s">
        <v>390</v>
      </c>
      <c r="C109" s="530"/>
      <c r="D109" s="287"/>
      <c r="E109" s="13"/>
      <c r="F109" s="302">
        <f t="shared" si="2"/>
        <v>0</v>
      </c>
    </row>
    <row r="110" spans="1:6" s="278" customFormat="1" ht="25.5">
      <c r="A110" s="284"/>
      <c r="B110" s="406" t="s">
        <v>391</v>
      </c>
      <c r="C110" s="530"/>
      <c r="D110" s="287"/>
      <c r="E110" s="13"/>
      <c r="F110" s="302">
        <f t="shared" si="2"/>
        <v>0</v>
      </c>
    </row>
    <row r="111" spans="1:6" s="278" customFormat="1" ht="25.5">
      <c r="A111" s="284"/>
      <c r="B111" s="406" t="s">
        <v>154</v>
      </c>
      <c r="C111" s="530"/>
      <c r="D111" s="287"/>
      <c r="E111" s="13"/>
      <c r="F111" s="302">
        <f t="shared" si="2"/>
        <v>0</v>
      </c>
    </row>
    <row r="112" spans="1:6" s="278" customFormat="1">
      <c r="A112" s="284"/>
      <c r="B112" s="406" t="s">
        <v>386</v>
      </c>
      <c r="C112" s="539" t="s">
        <v>27</v>
      </c>
      <c r="D112" s="287">
        <f>2.9+7.2</f>
        <v>10.1</v>
      </c>
      <c r="E112" s="45"/>
      <c r="F112" s="302">
        <f t="shared" si="2"/>
        <v>0</v>
      </c>
    </row>
    <row r="113" spans="1:6" s="278" customFormat="1">
      <c r="A113" s="284"/>
      <c r="B113" s="406"/>
      <c r="C113" s="539"/>
      <c r="D113" s="287"/>
      <c r="E113" s="45"/>
      <c r="F113" s="302">
        <f t="shared" si="2"/>
        <v>0</v>
      </c>
    </row>
    <row r="114" spans="1:6" s="278" customFormat="1">
      <c r="A114" s="538">
        <f>IF(B114&gt;0,MAX(A$24:A113)+1,"")</f>
        <v>12</v>
      </c>
      <c r="B114" s="294" t="s">
        <v>1431</v>
      </c>
      <c r="C114" s="530"/>
      <c r="D114" s="287"/>
      <c r="E114" s="13"/>
      <c r="F114" s="302">
        <f t="shared" si="2"/>
        <v>0</v>
      </c>
    </row>
    <row r="115" spans="1:6" s="278" customFormat="1" ht="63.75">
      <c r="A115" s="284"/>
      <c r="B115" s="406" t="s">
        <v>1432</v>
      </c>
      <c r="C115" s="530"/>
      <c r="D115" s="287"/>
      <c r="E115" s="13"/>
      <c r="F115" s="302">
        <f t="shared" si="2"/>
        <v>0</v>
      </c>
    </row>
    <row r="116" spans="1:6" s="278" customFormat="1" ht="30" customHeight="1">
      <c r="A116" s="284"/>
      <c r="B116" s="406" t="s">
        <v>170</v>
      </c>
      <c r="C116" s="530"/>
      <c r="D116" s="287"/>
      <c r="E116" s="13"/>
      <c r="F116" s="302">
        <f t="shared" si="2"/>
        <v>0</v>
      </c>
    </row>
    <row r="117" spans="1:6" s="278" customFormat="1" ht="25.5">
      <c r="A117" s="284"/>
      <c r="B117" s="406" t="s">
        <v>1433</v>
      </c>
      <c r="C117" s="530"/>
      <c r="D117" s="287"/>
      <c r="E117" s="13"/>
      <c r="F117" s="302">
        <f t="shared" si="2"/>
        <v>0</v>
      </c>
    </row>
    <row r="118" spans="1:6" s="278" customFormat="1" ht="25.5">
      <c r="A118" s="284"/>
      <c r="B118" s="406" t="s">
        <v>154</v>
      </c>
      <c r="C118" s="530"/>
      <c r="D118" s="287"/>
      <c r="E118" s="13"/>
      <c r="F118" s="302">
        <f t="shared" si="2"/>
        <v>0</v>
      </c>
    </row>
    <row r="119" spans="1:6" s="278" customFormat="1">
      <c r="A119" s="284"/>
      <c r="B119" s="406" t="s">
        <v>386</v>
      </c>
      <c r="C119" s="539" t="s">
        <v>27</v>
      </c>
      <c r="D119" s="287">
        <v>175.9</v>
      </c>
      <c r="E119" s="45"/>
      <c r="F119" s="302">
        <f t="shared" si="2"/>
        <v>0</v>
      </c>
    </row>
    <row r="120" spans="1:6" s="278" customFormat="1">
      <c r="A120" s="284"/>
      <c r="B120" s="406"/>
      <c r="C120" s="539"/>
      <c r="D120" s="287"/>
      <c r="E120" s="45"/>
      <c r="F120" s="302">
        <f t="shared" si="2"/>
        <v>0</v>
      </c>
    </row>
    <row r="121" spans="1:6" s="278" customFormat="1">
      <c r="A121" s="538">
        <f>IF(B121&gt;0,MAX(A$24:A120)+1,"")</f>
        <v>13</v>
      </c>
      <c r="B121" s="294" t="s">
        <v>392</v>
      </c>
      <c r="C121" s="530"/>
      <c r="D121" s="287"/>
      <c r="E121" s="13"/>
      <c r="F121" s="302">
        <f t="shared" si="2"/>
        <v>0</v>
      </c>
    </row>
    <row r="122" spans="1:6" s="278" customFormat="1" ht="54.75" customHeight="1">
      <c r="A122" s="284"/>
      <c r="B122" s="406" t="s">
        <v>394</v>
      </c>
      <c r="C122" s="530"/>
      <c r="D122" s="287"/>
      <c r="E122" s="13"/>
      <c r="F122" s="302">
        <f t="shared" si="2"/>
        <v>0</v>
      </c>
    </row>
    <row r="123" spans="1:6" s="278" customFormat="1" ht="25.5">
      <c r="A123" s="284"/>
      <c r="B123" s="406" t="s">
        <v>154</v>
      </c>
      <c r="C123" s="530"/>
      <c r="D123" s="287"/>
      <c r="E123" s="13"/>
      <c r="F123" s="302">
        <f t="shared" si="2"/>
        <v>0</v>
      </c>
    </row>
    <row r="124" spans="1:6" s="278" customFormat="1">
      <c r="A124" s="284"/>
      <c r="B124" s="406" t="s">
        <v>386</v>
      </c>
      <c r="C124" s="539"/>
      <c r="D124" s="287"/>
      <c r="E124" s="45"/>
      <c r="F124" s="302">
        <f t="shared" si="2"/>
        <v>0</v>
      </c>
    </row>
    <row r="125" spans="1:6" s="278" customFormat="1">
      <c r="A125" s="284"/>
      <c r="B125" s="406" t="s">
        <v>393</v>
      </c>
      <c r="C125" s="539" t="s">
        <v>27</v>
      </c>
      <c r="D125" s="287">
        <v>3.3</v>
      </c>
      <c r="E125" s="45"/>
      <c r="F125" s="302">
        <f t="shared" si="2"/>
        <v>0</v>
      </c>
    </row>
    <row r="126" spans="1:6" s="278" customFormat="1">
      <c r="A126" s="284"/>
      <c r="B126" s="406" t="s">
        <v>917</v>
      </c>
      <c r="C126" s="539" t="s">
        <v>27</v>
      </c>
      <c r="D126" s="287">
        <f>2+1.9</f>
        <v>3.9</v>
      </c>
      <c r="E126" s="45"/>
      <c r="F126" s="302">
        <f t="shared" si="2"/>
        <v>0</v>
      </c>
    </row>
    <row r="127" spans="1:6" s="278" customFormat="1">
      <c r="A127" s="284"/>
      <c r="B127" s="406"/>
      <c r="C127" s="539"/>
      <c r="D127" s="287"/>
      <c r="E127" s="45"/>
      <c r="F127" s="302">
        <f t="shared" si="2"/>
        <v>0</v>
      </c>
    </row>
    <row r="128" spans="1:6" s="278" customFormat="1">
      <c r="A128" s="538">
        <f>IF(B128&gt;0,MAX(A$24:A127)+1,"")</f>
        <v>14</v>
      </c>
      <c r="B128" s="294" t="s">
        <v>395</v>
      </c>
      <c r="C128" s="530"/>
      <c r="D128" s="287"/>
      <c r="E128" s="13"/>
      <c r="F128" s="302">
        <f t="shared" si="2"/>
        <v>0</v>
      </c>
    </row>
    <row r="129" spans="1:6" s="278" customFormat="1" ht="76.5">
      <c r="A129" s="284"/>
      <c r="B129" s="406" t="s">
        <v>397</v>
      </c>
      <c r="C129" s="530"/>
      <c r="D129" s="287"/>
      <c r="E129" s="13"/>
      <c r="F129" s="302">
        <f t="shared" si="2"/>
        <v>0</v>
      </c>
    </row>
    <row r="130" spans="1:6" s="278" customFormat="1" ht="30" customHeight="1">
      <c r="A130" s="284"/>
      <c r="B130" s="406" t="s">
        <v>224</v>
      </c>
      <c r="C130" s="530"/>
      <c r="D130" s="287"/>
      <c r="E130" s="13"/>
      <c r="F130" s="302">
        <f t="shared" si="2"/>
        <v>0</v>
      </c>
    </row>
    <row r="131" spans="1:6" s="278" customFormat="1" ht="25.5">
      <c r="A131" s="284"/>
      <c r="B131" s="406" t="s">
        <v>396</v>
      </c>
      <c r="C131" s="530"/>
      <c r="D131" s="287"/>
      <c r="E131" s="13"/>
      <c r="F131" s="302">
        <f t="shared" si="2"/>
        <v>0</v>
      </c>
    </row>
    <row r="132" spans="1:6" s="278" customFormat="1" ht="25.5">
      <c r="A132" s="284"/>
      <c r="B132" s="406" t="s">
        <v>154</v>
      </c>
      <c r="C132" s="530"/>
      <c r="D132" s="287"/>
      <c r="E132" s="13"/>
      <c r="F132" s="302">
        <f t="shared" si="2"/>
        <v>0</v>
      </c>
    </row>
    <row r="133" spans="1:6" s="278" customFormat="1">
      <c r="A133" s="284"/>
      <c r="B133" s="406" t="s">
        <v>153</v>
      </c>
      <c r="C133" s="539" t="s">
        <v>27</v>
      </c>
      <c r="D133" s="287">
        <f>10.3+9.2+9+4.9</f>
        <v>33.4</v>
      </c>
      <c r="E133" s="45"/>
      <c r="F133" s="302">
        <f t="shared" si="2"/>
        <v>0</v>
      </c>
    </row>
    <row r="134" spans="1:6">
      <c r="A134" s="540"/>
      <c r="B134" s="483"/>
      <c r="C134" s="544"/>
      <c r="D134" s="543"/>
      <c r="F134" s="302">
        <f t="shared" si="2"/>
        <v>0</v>
      </c>
    </row>
    <row r="135" spans="1:6" s="278" customFormat="1">
      <c r="A135" s="284"/>
      <c r="B135" s="294" t="s">
        <v>152</v>
      </c>
      <c r="C135" s="530"/>
      <c r="D135" s="287"/>
      <c r="E135" s="13"/>
      <c r="F135" s="302">
        <f t="shared" si="2"/>
        <v>0</v>
      </c>
    </row>
    <row r="136" spans="1:6" s="278" customFormat="1">
      <c r="A136" s="284"/>
      <c r="B136" s="294"/>
      <c r="C136" s="530"/>
      <c r="D136" s="287"/>
      <c r="E136" s="13"/>
      <c r="F136" s="302">
        <f t="shared" si="2"/>
        <v>0</v>
      </c>
    </row>
    <row r="137" spans="1:6" s="278" customFormat="1">
      <c r="A137" s="538">
        <f>IF(B137&gt;0,MAX(A$24:A136)+1,"")</f>
        <v>15</v>
      </c>
      <c r="B137" s="294" t="s">
        <v>151</v>
      </c>
      <c r="C137" s="530"/>
      <c r="D137" s="287"/>
      <c r="E137" s="13"/>
      <c r="F137" s="302">
        <f t="shared" si="2"/>
        <v>0</v>
      </c>
    </row>
    <row r="138" spans="1:6" s="278" customFormat="1" ht="140.25">
      <c r="A138" s="284"/>
      <c r="B138" s="406" t="s">
        <v>5503</v>
      </c>
      <c r="C138" s="530"/>
      <c r="D138" s="287"/>
      <c r="E138" s="13"/>
      <c r="F138" s="302">
        <f t="shared" si="2"/>
        <v>0</v>
      </c>
    </row>
    <row r="139" spans="1:6" s="278" customFormat="1" ht="25.5">
      <c r="A139" s="284"/>
      <c r="B139" s="406" t="s">
        <v>226</v>
      </c>
      <c r="C139" s="530"/>
      <c r="D139" s="287"/>
      <c r="E139" s="13"/>
      <c r="F139" s="302">
        <f t="shared" si="2"/>
        <v>0</v>
      </c>
    </row>
    <row r="140" spans="1:6" s="278" customFormat="1">
      <c r="A140" s="284"/>
      <c r="B140" s="406" t="s">
        <v>225</v>
      </c>
      <c r="C140" s="539"/>
      <c r="D140" s="287"/>
      <c r="E140" s="45"/>
      <c r="F140" s="302">
        <f t="shared" si="2"/>
        <v>0</v>
      </c>
    </row>
    <row r="141" spans="1:6" s="278" customFormat="1">
      <c r="A141" s="284"/>
      <c r="B141" s="406" t="s">
        <v>1527</v>
      </c>
      <c r="C141" s="539" t="s">
        <v>27</v>
      </c>
      <c r="D141" s="287">
        <f>8.7+51.2</f>
        <v>59.9</v>
      </c>
      <c r="E141" s="45"/>
      <c r="F141" s="302">
        <f t="shared" si="2"/>
        <v>0</v>
      </c>
    </row>
    <row r="142" spans="1:6" s="278" customFormat="1">
      <c r="A142" s="284"/>
      <c r="B142" s="406" t="s">
        <v>1531</v>
      </c>
      <c r="C142" s="539" t="s">
        <v>27</v>
      </c>
      <c r="D142" s="287">
        <f>29.3+20.3+16.3+116.3+92.7+16.1</f>
        <v>291</v>
      </c>
      <c r="E142" s="45"/>
      <c r="F142" s="302">
        <f t="shared" si="2"/>
        <v>0</v>
      </c>
    </row>
    <row r="143" spans="1:6" s="278" customFormat="1">
      <c r="A143" s="284"/>
      <c r="B143" s="406" t="s">
        <v>1532</v>
      </c>
      <c r="C143" s="539" t="s">
        <v>27</v>
      </c>
      <c r="D143" s="287">
        <f>8.2+4.1</f>
        <v>12.3</v>
      </c>
      <c r="E143" s="45"/>
      <c r="F143" s="302">
        <f t="shared" si="2"/>
        <v>0</v>
      </c>
    </row>
    <row r="144" spans="1:6" s="278" customFormat="1">
      <c r="A144" s="284"/>
      <c r="B144" s="406" t="s">
        <v>1533</v>
      </c>
      <c r="C144" s="539" t="s">
        <v>27</v>
      </c>
      <c r="D144" s="287">
        <f>83+82.4</f>
        <v>165.4</v>
      </c>
      <c r="E144" s="45"/>
      <c r="F144" s="302">
        <f t="shared" si="2"/>
        <v>0</v>
      </c>
    </row>
    <row r="145" spans="1:6" s="278" customFormat="1">
      <c r="A145" s="284"/>
      <c r="B145" s="406" t="s">
        <v>1534</v>
      </c>
      <c r="C145" s="539" t="s">
        <v>27</v>
      </c>
      <c r="D145" s="287">
        <f>11.8</f>
        <v>11.8</v>
      </c>
      <c r="E145" s="45"/>
      <c r="F145" s="302">
        <f t="shared" si="2"/>
        <v>0</v>
      </c>
    </row>
    <row r="146" spans="1:6" s="278" customFormat="1">
      <c r="A146" s="284"/>
      <c r="B146" s="406" t="s">
        <v>1535</v>
      </c>
      <c r="C146" s="539" t="s">
        <v>27</v>
      </c>
      <c r="D146" s="287">
        <f>6.1</f>
        <v>6.1</v>
      </c>
      <c r="E146" s="45"/>
      <c r="F146" s="302">
        <f t="shared" si="2"/>
        <v>0</v>
      </c>
    </row>
    <row r="147" spans="1:6" s="278" customFormat="1">
      <c r="A147" s="284"/>
      <c r="B147" s="406" t="s">
        <v>1536</v>
      </c>
      <c r="C147" s="539" t="s">
        <v>27</v>
      </c>
      <c r="D147" s="287">
        <f>84.8+85.6</f>
        <v>170.4</v>
      </c>
      <c r="E147" s="45"/>
      <c r="F147" s="302">
        <f t="shared" si="2"/>
        <v>0</v>
      </c>
    </row>
    <row r="148" spans="1:6" s="278" customFormat="1">
      <c r="A148" s="284"/>
      <c r="B148" s="406" t="s">
        <v>1537</v>
      </c>
      <c r="C148" s="539" t="s">
        <v>27</v>
      </c>
      <c r="D148" s="287">
        <f>6.2</f>
        <v>6.2</v>
      </c>
      <c r="E148" s="45"/>
      <c r="F148" s="302">
        <f t="shared" si="2"/>
        <v>0</v>
      </c>
    </row>
    <row r="149" spans="1:6" s="278" customFormat="1">
      <c r="A149" s="284"/>
      <c r="B149" s="406" t="s">
        <v>1538</v>
      </c>
      <c r="C149" s="539" t="s">
        <v>27</v>
      </c>
      <c r="D149" s="287">
        <f>8.9</f>
        <v>8.9</v>
      </c>
      <c r="E149" s="45"/>
      <c r="F149" s="302">
        <f t="shared" si="2"/>
        <v>0</v>
      </c>
    </row>
    <row r="150" spans="1:6" s="278" customFormat="1">
      <c r="A150" s="284"/>
      <c r="B150" s="406" t="s">
        <v>1539</v>
      </c>
      <c r="C150" s="539" t="s">
        <v>27</v>
      </c>
      <c r="D150" s="287">
        <f>4.5</f>
        <v>4.5</v>
      </c>
      <c r="E150" s="45"/>
      <c r="F150" s="302">
        <f t="shared" si="2"/>
        <v>0</v>
      </c>
    </row>
    <row r="151" spans="1:6" s="278" customFormat="1">
      <c r="A151" s="284"/>
      <c r="B151" s="406" t="s">
        <v>1545</v>
      </c>
      <c r="C151" s="539" t="s">
        <v>26</v>
      </c>
      <c r="D151" s="287">
        <v>15</v>
      </c>
      <c r="E151" s="45"/>
      <c r="F151" s="302">
        <f t="shared" si="2"/>
        <v>0</v>
      </c>
    </row>
    <row r="152" spans="1:6" s="278" customFormat="1">
      <c r="A152" s="284"/>
      <c r="B152" s="406" t="s">
        <v>1546</v>
      </c>
      <c r="C152" s="539" t="s">
        <v>26</v>
      </c>
      <c r="D152" s="287">
        <v>15</v>
      </c>
      <c r="E152" s="45"/>
      <c r="F152" s="302">
        <f t="shared" si="2"/>
        <v>0</v>
      </c>
    </row>
    <row r="153" spans="1:6" s="278" customFormat="1">
      <c r="A153" s="284"/>
      <c r="B153" s="406" t="s">
        <v>1547</v>
      </c>
      <c r="C153" s="539" t="s">
        <v>26</v>
      </c>
      <c r="D153" s="287">
        <v>15</v>
      </c>
      <c r="E153" s="45"/>
      <c r="F153" s="302">
        <f t="shared" ref="F153:F212" si="3">E153*D153</f>
        <v>0</v>
      </c>
    </row>
    <row r="154" spans="1:6" s="278" customFormat="1">
      <c r="A154" s="284"/>
      <c r="B154" s="406"/>
      <c r="C154" s="539"/>
      <c r="D154" s="287"/>
      <c r="E154" s="45"/>
      <c r="F154" s="302">
        <f t="shared" si="3"/>
        <v>0</v>
      </c>
    </row>
    <row r="155" spans="1:6" s="278" customFormat="1">
      <c r="A155" s="538">
        <f>IF(B155&gt;0,MAX(A$24:A154)+1,"")</f>
        <v>16</v>
      </c>
      <c r="B155" s="294" t="s">
        <v>358</v>
      </c>
      <c r="C155" s="530"/>
      <c r="D155" s="287"/>
      <c r="E155" s="13"/>
      <c r="F155" s="302">
        <f t="shared" si="3"/>
        <v>0</v>
      </c>
    </row>
    <row r="156" spans="1:6" s="278" customFormat="1" ht="155.25" customHeight="1">
      <c r="A156" s="284"/>
      <c r="B156" s="406" t="s">
        <v>5504</v>
      </c>
      <c r="C156" s="530"/>
      <c r="D156" s="287"/>
      <c r="E156" s="13"/>
      <c r="F156" s="302">
        <f t="shared" si="3"/>
        <v>0</v>
      </c>
    </row>
    <row r="157" spans="1:6" s="278" customFormat="1">
      <c r="A157" s="284"/>
      <c r="B157" s="406" t="s">
        <v>1362</v>
      </c>
      <c r="C157" s="539"/>
      <c r="D157" s="287"/>
      <c r="E157" s="45"/>
      <c r="F157" s="302">
        <f t="shared" si="3"/>
        <v>0</v>
      </c>
    </row>
    <row r="158" spans="1:6" s="278" customFormat="1">
      <c r="A158" s="284"/>
      <c r="B158" s="406" t="s">
        <v>1528</v>
      </c>
      <c r="C158" s="539" t="s">
        <v>27</v>
      </c>
      <c r="D158" s="287">
        <f>16.1</f>
        <v>16.100000000000001</v>
      </c>
      <c r="E158" s="45"/>
      <c r="F158" s="302">
        <f t="shared" si="3"/>
        <v>0</v>
      </c>
    </row>
    <row r="159" spans="1:6" s="278" customFormat="1">
      <c r="A159" s="284"/>
      <c r="B159" s="406" t="s">
        <v>1529</v>
      </c>
      <c r="C159" s="539" t="s">
        <v>27</v>
      </c>
      <c r="D159" s="287">
        <f>10.5+6.9</f>
        <v>17.399999999999999</v>
      </c>
      <c r="E159" s="45"/>
      <c r="F159" s="302">
        <f t="shared" si="3"/>
        <v>0</v>
      </c>
    </row>
    <row r="160" spans="1:6" s="278" customFormat="1">
      <c r="A160" s="284"/>
      <c r="B160" s="406" t="s">
        <v>1530</v>
      </c>
      <c r="C160" s="539" t="s">
        <v>27</v>
      </c>
      <c r="D160" s="287">
        <f>6.8</f>
        <v>6.8</v>
      </c>
      <c r="E160" s="45"/>
      <c r="F160" s="302">
        <f t="shared" si="3"/>
        <v>0</v>
      </c>
    </row>
    <row r="161" spans="1:6" s="278" customFormat="1">
      <c r="A161" s="284"/>
      <c r="B161" s="406"/>
      <c r="C161" s="539"/>
      <c r="D161" s="287"/>
      <c r="E161" s="45"/>
      <c r="F161" s="302">
        <f t="shared" si="3"/>
        <v>0</v>
      </c>
    </row>
    <row r="162" spans="1:6" s="278" customFormat="1">
      <c r="A162" s="538">
        <f>IF(B162&gt;0,MAX(A$24:A161)+1,"")</f>
        <v>17</v>
      </c>
      <c r="B162" s="294" t="s">
        <v>151</v>
      </c>
      <c r="C162" s="530"/>
      <c r="D162" s="287"/>
      <c r="E162" s="13"/>
      <c r="F162" s="302">
        <f t="shared" si="3"/>
        <v>0</v>
      </c>
    </row>
    <row r="163" spans="1:6" s="278" customFormat="1" ht="140.25">
      <c r="A163" s="284"/>
      <c r="B163" s="406" t="s">
        <v>5503</v>
      </c>
      <c r="C163" s="530"/>
      <c r="D163" s="287"/>
      <c r="E163" s="13"/>
      <c r="F163" s="302">
        <f t="shared" si="3"/>
        <v>0</v>
      </c>
    </row>
    <row r="164" spans="1:6" s="278" customFormat="1" ht="25.5">
      <c r="A164" s="284"/>
      <c r="B164" s="406" t="s">
        <v>918</v>
      </c>
      <c r="C164" s="530"/>
      <c r="D164" s="287"/>
      <c r="E164" s="13"/>
      <c r="F164" s="302">
        <f t="shared" si="3"/>
        <v>0</v>
      </c>
    </row>
    <row r="165" spans="1:6" s="492" customFormat="1">
      <c r="A165" s="336"/>
      <c r="B165" s="545" t="s">
        <v>1542</v>
      </c>
      <c r="C165" s="546"/>
      <c r="D165" s="494"/>
      <c r="E165" s="524"/>
      <c r="F165" s="302">
        <f t="shared" si="3"/>
        <v>0</v>
      </c>
    </row>
    <row r="166" spans="1:6" s="278" customFormat="1">
      <c r="A166" s="284"/>
      <c r="B166" s="406" t="s">
        <v>1362</v>
      </c>
      <c r="C166" s="539"/>
      <c r="D166" s="287"/>
      <c r="E166" s="45"/>
      <c r="F166" s="302">
        <f t="shared" si="3"/>
        <v>0</v>
      </c>
    </row>
    <row r="167" spans="1:6" s="278" customFormat="1">
      <c r="A167" s="284"/>
      <c r="B167" s="406" t="s">
        <v>1544</v>
      </c>
      <c r="C167" s="539" t="s">
        <v>27</v>
      </c>
      <c r="D167" s="287">
        <f>37.5</f>
        <v>37.5</v>
      </c>
      <c r="E167" s="45"/>
      <c r="F167" s="302">
        <f t="shared" si="3"/>
        <v>0</v>
      </c>
    </row>
    <row r="168" spans="1:6" s="278" customFormat="1">
      <c r="A168" s="284"/>
      <c r="B168" s="406" t="s">
        <v>1543</v>
      </c>
      <c r="C168" s="539" t="s">
        <v>27</v>
      </c>
      <c r="D168" s="287">
        <f>85.3+84.4</f>
        <v>169.7</v>
      </c>
      <c r="E168" s="45"/>
      <c r="F168" s="302">
        <f t="shared" si="3"/>
        <v>0</v>
      </c>
    </row>
    <row r="169" spans="1:6" s="278" customFormat="1">
      <c r="A169" s="284"/>
      <c r="B169" s="406"/>
      <c r="C169" s="539"/>
      <c r="D169" s="287"/>
      <c r="E169" s="45"/>
      <c r="F169" s="302">
        <f t="shared" si="3"/>
        <v>0</v>
      </c>
    </row>
    <row r="170" spans="1:6" s="278" customFormat="1">
      <c r="A170" s="538">
        <f>IF(B170&gt;0,MAX(A$24:A169)+1,"")</f>
        <v>18</v>
      </c>
      <c r="B170" s="294" t="s">
        <v>358</v>
      </c>
      <c r="C170" s="530"/>
      <c r="D170" s="287"/>
      <c r="E170" s="13"/>
      <c r="F170" s="302">
        <f t="shared" si="3"/>
        <v>0</v>
      </c>
    </row>
    <row r="171" spans="1:6" s="278" customFormat="1" ht="167.25" customHeight="1">
      <c r="A171" s="284"/>
      <c r="B171" s="406" t="s">
        <v>5504</v>
      </c>
      <c r="C171" s="530"/>
      <c r="D171" s="287"/>
      <c r="E171" s="13"/>
      <c r="F171" s="302">
        <f t="shared" si="3"/>
        <v>0</v>
      </c>
    </row>
    <row r="172" spans="1:6" s="278" customFormat="1" ht="25.5">
      <c r="A172" s="284"/>
      <c r="B172" s="406" t="s">
        <v>918</v>
      </c>
      <c r="C172" s="530"/>
      <c r="D172" s="287"/>
      <c r="E172" s="13"/>
      <c r="F172" s="302">
        <f t="shared" si="3"/>
        <v>0</v>
      </c>
    </row>
    <row r="173" spans="1:6" s="492" customFormat="1">
      <c r="A173" s="336"/>
      <c r="B173" s="545" t="s">
        <v>1541</v>
      </c>
      <c r="C173" s="546"/>
      <c r="D173" s="494"/>
      <c r="E173" s="524"/>
      <c r="F173" s="302">
        <f t="shared" si="3"/>
        <v>0</v>
      </c>
    </row>
    <row r="174" spans="1:6" s="278" customFormat="1">
      <c r="A174" s="284"/>
      <c r="B174" s="406" t="s">
        <v>1362</v>
      </c>
      <c r="C174" s="539"/>
      <c r="D174" s="287"/>
      <c r="E174" s="45"/>
      <c r="F174" s="302">
        <f t="shared" si="3"/>
        <v>0</v>
      </c>
    </row>
    <row r="175" spans="1:6" s="278" customFormat="1">
      <c r="A175" s="284"/>
      <c r="B175" s="406" t="s">
        <v>1540</v>
      </c>
      <c r="C175" s="539" t="s">
        <v>27</v>
      </c>
      <c r="D175" s="287">
        <v>11.2</v>
      </c>
      <c r="E175" s="45"/>
      <c r="F175" s="302">
        <f t="shared" si="3"/>
        <v>0</v>
      </c>
    </row>
    <row r="176" spans="1:6" s="278" customFormat="1">
      <c r="A176" s="284"/>
      <c r="B176" s="406"/>
      <c r="C176" s="539"/>
      <c r="D176" s="287"/>
      <c r="E176" s="45"/>
      <c r="F176" s="302">
        <f t="shared" si="3"/>
        <v>0</v>
      </c>
    </row>
    <row r="177" spans="1:7" s="278" customFormat="1">
      <c r="A177" s="538">
        <f>IF(B177&gt;0,MAX(A$24:A176)+1,"")</f>
        <v>19</v>
      </c>
      <c r="B177" s="294" t="s">
        <v>151</v>
      </c>
      <c r="C177" s="530"/>
      <c r="D177" s="287"/>
      <c r="E177" s="13"/>
      <c r="F177" s="302">
        <f t="shared" si="3"/>
        <v>0</v>
      </c>
    </row>
    <row r="178" spans="1:7" s="278" customFormat="1" ht="146.25" customHeight="1">
      <c r="A178" s="284"/>
      <c r="B178" s="406" t="s">
        <v>5505</v>
      </c>
      <c r="C178" s="530"/>
      <c r="D178" s="287"/>
      <c r="E178" s="13"/>
      <c r="F178" s="302">
        <f t="shared" si="3"/>
        <v>0</v>
      </c>
    </row>
    <row r="179" spans="1:7" s="278" customFormat="1" ht="25.5">
      <c r="A179" s="284"/>
      <c r="B179" s="406" t="s">
        <v>1359</v>
      </c>
      <c r="C179" s="530"/>
      <c r="D179" s="287"/>
      <c r="E179" s="13"/>
      <c r="F179" s="302">
        <f t="shared" si="3"/>
        <v>0</v>
      </c>
    </row>
    <row r="180" spans="1:7" s="492" customFormat="1">
      <c r="A180" s="336"/>
      <c r="B180" s="545" t="s">
        <v>1360</v>
      </c>
      <c r="C180" s="546"/>
      <c r="D180" s="494"/>
      <c r="E180" s="524"/>
      <c r="F180" s="302">
        <f t="shared" si="3"/>
        <v>0</v>
      </c>
      <c r="G180" s="346"/>
    </row>
    <row r="181" spans="1:7" s="278" customFormat="1">
      <c r="A181" s="284"/>
      <c r="B181" s="406" t="s">
        <v>1362</v>
      </c>
      <c r="C181" s="539"/>
      <c r="D181" s="287"/>
      <c r="E181" s="45"/>
      <c r="F181" s="302">
        <f t="shared" si="3"/>
        <v>0</v>
      </c>
    </row>
    <row r="182" spans="1:7" s="278" customFormat="1">
      <c r="A182" s="284"/>
      <c r="B182" s="406" t="s">
        <v>1361</v>
      </c>
      <c r="C182" s="539" t="s">
        <v>27</v>
      </c>
      <c r="D182" s="287">
        <v>197.7</v>
      </c>
      <c r="E182" s="45"/>
      <c r="F182" s="302">
        <f t="shared" si="3"/>
        <v>0</v>
      </c>
    </row>
    <row r="183" spans="1:7" s="278" customFormat="1">
      <c r="A183" s="284"/>
      <c r="B183" s="406"/>
      <c r="C183" s="539"/>
      <c r="D183" s="287"/>
      <c r="E183" s="45"/>
      <c r="F183" s="302">
        <f t="shared" si="3"/>
        <v>0</v>
      </c>
    </row>
    <row r="184" spans="1:7" s="278" customFormat="1">
      <c r="A184" s="538">
        <f>IF(B184&gt;0,MAX(A$24:A183)+1,"")</f>
        <v>20</v>
      </c>
      <c r="B184" s="294" t="s">
        <v>1385</v>
      </c>
      <c r="C184" s="530"/>
      <c r="D184" s="287"/>
      <c r="E184" s="13"/>
      <c r="F184" s="302">
        <f t="shared" si="3"/>
        <v>0</v>
      </c>
    </row>
    <row r="185" spans="1:7" s="278" customFormat="1" ht="140.25">
      <c r="A185" s="284"/>
      <c r="B185" s="406" t="s">
        <v>1951</v>
      </c>
      <c r="C185" s="530"/>
      <c r="D185" s="287"/>
      <c r="E185" s="13"/>
      <c r="F185" s="302">
        <f t="shared" si="3"/>
        <v>0</v>
      </c>
    </row>
    <row r="186" spans="1:7" s="278" customFormat="1" ht="25.5">
      <c r="A186" s="284"/>
      <c r="B186" s="406" t="s">
        <v>1382</v>
      </c>
      <c r="C186" s="530"/>
      <c r="D186" s="287"/>
      <c r="E186" s="13"/>
      <c r="F186" s="302">
        <f t="shared" si="3"/>
        <v>0</v>
      </c>
    </row>
    <row r="187" spans="1:7" s="492" customFormat="1">
      <c r="A187" s="336"/>
      <c r="B187" s="545" t="s">
        <v>1383</v>
      </c>
      <c r="C187" s="546"/>
      <c r="D187" s="494"/>
      <c r="E187" s="524"/>
      <c r="F187" s="302">
        <f t="shared" si="3"/>
        <v>0</v>
      </c>
    </row>
    <row r="188" spans="1:7" s="278" customFormat="1">
      <c r="A188" s="284"/>
      <c r="B188" s="406" t="s">
        <v>1362</v>
      </c>
      <c r="C188" s="539"/>
      <c r="D188" s="287"/>
      <c r="E188" s="45"/>
      <c r="F188" s="302">
        <f t="shared" si="3"/>
        <v>0</v>
      </c>
    </row>
    <row r="189" spans="1:7" s="278" customFormat="1">
      <c r="A189" s="284"/>
      <c r="B189" s="406" t="s">
        <v>1384</v>
      </c>
      <c r="C189" s="539" t="s">
        <v>27</v>
      </c>
      <c r="D189" s="287">
        <v>46.4</v>
      </c>
      <c r="E189" s="45"/>
      <c r="F189" s="302">
        <f t="shared" si="3"/>
        <v>0</v>
      </c>
    </row>
    <row r="190" spans="1:7" s="278" customFormat="1">
      <c r="A190" s="284"/>
      <c r="B190" s="406"/>
      <c r="C190" s="539"/>
      <c r="D190" s="287"/>
      <c r="E190" s="45"/>
      <c r="F190" s="302">
        <f t="shared" si="3"/>
        <v>0</v>
      </c>
    </row>
    <row r="191" spans="1:7" s="278" customFormat="1">
      <c r="A191" s="538">
        <f>IF(B191&gt;0,MAX(A$24:A190)+1,"")</f>
        <v>21</v>
      </c>
      <c r="B191" s="294" t="s">
        <v>1385</v>
      </c>
      <c r="C191" s="530"/>
      <c r="D191" s="287"/>
      <c r="E191" s="13"/>
      <c r="F191" s="302">
        <f t="shared" si="3"/>
        <v>0</v>
      </c>
    </row>
    <row r="192" spans="1:7" s="278" customFormat="1" ht="114.75">
      <c r="A192" s="284"/>
      <c r="B192" s="406" t="s">
        <v>1386</v>
      </c>
      <c r="C192" s="530"/>
      <c r="D192" s="287"/>
      <c r="E192" s="13"/>
      <c r="F192" s="302">
        <f t="shared" si="3"/>
        <v>0</v>
      </c>
    </row>
    <row r="193" spans="1:6" s="278" customFormat="1" ht="38.25">
      <c r="A193" s="284"/>
      <c r="B193" s="406" t="s">
        <v>1952</v>
      </c>
      <c r="C193" s="530"/>
      <c r="D193" s="287"/>
      <c r="E193" s="13"/>
      <c r="F193" s="302">
        <f t="shared" si="3"/>
        <v>0</v>
      </c>
    </row>
    <row r="194" spans="1:6" s="278" customFormat="1" ht="25.5">
      <c r="A194" s="284"/>
      <c r="B194" s="406" t="s">
        <v>1387</v>
      </c>
      <c r="C194" s="530"/>
      <c r="D194" s="287"/>
      <c r="E194" s="13"/>
      <c r="F194" s="302">
        <f t="shared" si="3"/>
        <v>0</v>
      </c>
    </row>
    <row r="195" spans="1:6" s="492" customFormat="1">
      <c r="A195" s="336"/>
      <c r="B195" s="545" t="s">
        <v>1389</v>
      </c>
      <c r="C195" s="546"/>
      <c r="D195" s="494"/>
      <c r="E195" s="524"/>
      <c r="F195" s="302">
        <f t="shared" si="3"/>
        <v>0</v>
      </c>
    </row>
    <row r="196" spans="1:6" s="278" customFormat="1">
      <c r="A196" s="284"/>
      <c r="B196" s="406" t="s">
        <v>1362</v>
      </c>
      <c r="C196" s="539"/>
      <c r="D196" s="287"/>
      <c r="E196" s="45"/>
      <c r="F196" s="302">
        <f t="shared" si="3"/>
        <v>0</v>
      </c>
    </row>
    <row r="197" spans="1:6" s="278" customFormat="1">
      <c r="A197" s="284"/>
      <c r="B197" s="406" t="s">
        <v>1384</v>
      </c>
      <c r="C197" s="539" t="s">
        <v>27</v>
      </c>
      <c r="D197" s="287">
        <f>344.9+66.3</f>
        <v>411.2</v>
      </c>
      <c r="E197" s="45"/>
      <c r="F197" s="302">
        <f t="shared" si="3"/>
        <v>0</v>
      </c>
    </row>
    <row r="198" spans="1:6" s="278" customFormat="1">
      <c r="A198" s="284"/>
      <c r="B198" s="406"/>
      <c r="C198" s="539"/>
      <c r="D198" s="287"/>
      <c r="E198" s="45"/>
      <c r="F198" s="302">
        <f t="shared" si="3"/>
        <v>0</v>
      </c>
    </row>
    <row r="199" spans="1:6" s="278" customFormat="1">
      <c r="A199" s="538">
        <f>IF(B199&gt;0,MAX(A$24:A198)+1,"")</f>
        <v>22</v>
      </c>
      <c r="B199" s="294" t="s">
        <v>1385</v>
      </c>
      <c r="C199" s="530"/>
      <c r="D199" s="287"/>
      <c r="E199" s="13"/>
      <c r="F199" s="302">
        <f t="shared" si="3"/>
        <v>0</v>
      </c>
    </row>
    <row r="200" spans="1:6" s="278" customFormat="1" ht="114.75">
      <c r="A200" s="284"/>
      <c r="B200" s="406" t="s">
        <v>1386</v>
      </c>
      <c r="C200" s="530"/>
      <c r="D200" s="287"/>
      <c r="E200" s="13"/>
      <c r="F200" s="302">
        <f t="shared" si="3"/>
        <v>0</v>
      </c>
    </row>
    <row r="201" spans="1:6" s="278" customFormat="1" ht="38.25">
      <c r="A201" s="284"/>
      <c r="B201" s="406" t="s">
        <v>1952</v>
      </c>
      <c r="C201" s="530"/>
      <c r="D201" s="287"/>
      <c r="E201" s="13"/>
      <c r="F201" s="302">
        <f t="shared" si="3"/>
        <v>0</v>
      </c>
    </row>
    <row r="202" spans="1:6" s="492" customFormat="1">
      <c r="A202" s="336"/>
      <c r="B202" s="545" t="s">
        <v>1388</v>
      </c>
      <c r="C202" s="546"/>
      <c r="D202" s="494"/>
      <c r="E202" s="524"/>
      <c r="F202" s="302">
        <f t="shared" si="3"/>
        <v>0</v>
      </c>
    </row>
    <row r="203" spans="1:6" s="278" customFormat="1">
      <c r="A203" s="284"/>
      <c r="B203" s="406" t="s">
        <v>1362</v>
      </c>
      <c r="C203" s="539"/>
      <c r="D203" s="287"/>
      <c r="E203" s="45"/>
      <c r="F203" s="302">
        <f t="shared" si="3"/>
        <v>0</v>
      </c>
    </row>
    <row r="204" spans="1:6" s="278" customFormat="1">
      <c r="A204" s="284"/>
      <c r="B204" s="406" t="s">
        <v>1384</v>
      </c>
      <c r="C204" s="539" t="s">
        <v>27</v>
      </c>
      <c r="D204" s="287">
        <v>302.2</v>
      </c>
      <c r="E204" s="45"/>
      <c r="F204" s="302">
        <f t="shared" si="3"/>
        <v>0</v>
      </c>
    </row>
    <row r="205" spans="1:6" s="278" customFormat="1">
      <c r="A205" s="284"/>
      <c r="B205" s="406"/>
      <c r="C205" s="539"/>
      <c r="D205" s="287"/>
      <c r="E205" s="45"/>
      <c r="F205" s="302">
        <f t="shared" si="3"/>
        <v>0</v>
      </c>
    </row>
    <row r="206" spans="1:6" s="278" customFormat="1">
      <c r="A206" s="538">
        <f>IF(B206&gt;0,MAX(A$24:A205)+1,"")</f>
        <v>23</v>
      </c>
      <c r="B206" s="294" t="s">
        <v>1550</v>
      </c>
      <c r="C206" s="530"/>
      <c r="D206" s="287"/>
      <c r="E206" s="13"/>
      <c r="F206" s="302">
        <f t="shared" si="3"/>
        <v>0</v>
      </c>
    </row>
    <row r="207" spans="1:6" s="278" customFormat="1" ht="106.5" customHeight="1">
      <c r="A207" s="284"/>
      <c r="B207" s="406" t="s">
        <v>1551</v>
      </c>
      <c r="C207" s="530"/>
      <c r="D207" s="287"/>
      <c r="E207" s="13"/>
      <c r="F207" s="302">
        <f t="shared" si="3"/>
        <v>0</v>
      </c>
    </row>
    <row r="208" spans="1:6" s="278" customFormat="1" ht="25.5">
      <c r="A208" s="284"/>
      <c r="B208" s="406" t="s">
        <v>1953</v>
      </c>
      <c r="C208" s="530"/>
      <c r="D208" s="287"/>
      <c r="E208" s="13"/>
      <c r="F208" s="302">
        <f t="shared" si="3"/>
        <v>0</v>
      </c>
    </row>
    <row r="209" spans="1:6" s="278" customFormat="1" ht="38.25">
      <c r="A209" s="284"/>
      <c r="B209" s="406" t="s">
        <v>1952</v>
      </c>
      <c r="C209" s="530"/>
      <c r="D209" s="287"/>
      <c r="E209" s="13"/>
      <c r="F209" s="302">
        <f t="shared" si="3"/>
        <v>0</v>
      </c>
    </row>
    <row r="210" spans="1:6" s="278" customFormat="1">
      <c r="A210" s="284"/>
      <c r="B210" s="406" t="s">
        <v>1362</v>
      </c>
      <c r="C210" s="539"/>
      <c r="D210" s="287"/>
      <c r="E210" s="45"/>
      <c r="F210" s="302">
        <f t="shared" si="3"/>
        <v>0</v>
      </c>
    </row>
    <row r="211" spans="1:6" s="278" customFormat="1">
      <c r="A211" s="284"/>
      <c r="B211" s="406" t="s">
        <v>1552</v>
      </c>
      <c r="C211" s="539" t="s">
        <v>27</v>
      </c>
      <c r="D211" s="287">
        <v>60</v>
      </c>
      <c r="E211" s="45"/>
      <c r="F211" s="302">
        <f t="shared" si="3"/>
        <v>0</v>
      </c>
    </row>
    <row r="212" spans="1:6" s="278" customFormat="1">
      <c r="A212" s="284"/>
      <c r="B212" s="406" t="s">
        <v>1553</v>
      </c>
      <c r="C212" s="539" t="s">
        <v>27</v>
      </c>
      <c r="D212" s="287">
        <v>30</v>
      </c>
      <c r="E212" s="45"/>
      <c r="F212" s="302">
        <f t="shared" si="3"/>
        <v>0</v>
      </c>
    </row>
    <row r="213" spans="1:6" s="278" customFormat="1">
      <c r="A213" s="284"/>
      <c r="B213" s="406"/>
      <c r="C213" s="539"/>
      <c r="D213" s="287"/>
      <c r="E213" s="45"/>
      <c r="F213" s="302">
        <f t="shared" ref="F213:F268" si="4">E213*D213</f>
        <v>0</v>
      </c>
    </row>
    <row r="214" spans="1:6" s="278" customFormat="1">
      <c r="A214" s="284"/>
      <c r="B214" s="294" t="s">
        <v>73</v>
      </c>
      <c r="C214" s="530"/>
      <c r="D214" s="287"/>
      <c r="E214" s="13"/>
      <c r="F214" s="302">
        <f t="shared" si="4"/>
        <v>0</v>
      </c>
    </row>
    <row r="215" spans="1:6" s="278" customFormat="1">
      <c r="A215" s="284"/>
      <c r="B215" s="294"/>
      <c r="C215" s="530"/>
      <c r="D215" s="287"/>
      <c r="E215" s="13"/>
      <c r="F215" s="302">
        <f t="shared" si="4"/>
        <v>0</v>
      </c>
    </row>
    <row r="216" spans="1:6" s="278" customFormat="1">
      <c r="A216" s="538">
        <f>IF(B216&gt;0,MAX(A$24:A215)+1,"")</f>
        <v>24</v>
      </c>
      <c r="B216" s="294" t="s">
        <v>150</v>
      </c>
      <c r="C216" s="547"/>
      <c r="D216" s="548"/>
      <c r="E216" s="13"/>
      <c r="F216" s="302">
        <f t="shared" si="4"/>
        <v>0</v>
      </c>
    </row>
    <row r="217" spans="1:6" s="278" customFormat="1" ht="38.25">
      <c r="A217" s="549"/>
      <c r="B217" s="449" t="s">
        <v>403</v>
      </c>
      <c r="C217" s="547"/>
      <c r="D217" s="548"/>
      <c r="E217" s="13"/>
      <c r="F217" s="302">
        <f t="shared" si="4"/>
        <v>0</v>
      </c>
    </row>
    <row r="218" spans="1:6" s="278" customFormat="1">
      <c r="A218" s="549"/>
      <c r="B218" s="449" t="s">
        <v>148</v>
      </c>
      <c r="C218" s="547"/>
      <c r="D218" s="548"/>
      <c r="E218" s="13"/>
      <c r="F218" s="302">
        <f t="shared" si="4"/>
        <v>0</v>
      </c>
    </row>
    <row r="219" spans="1:6" s="278" customFormat="1">
      <c r="A219" s="549"/>
      <c r="B219" s="449" t="s">
        <v>147</v>
      </c>
      <c r="C219" s="547"/>
      <c r="D219" s="548"/>
      <c r="E219" s="13"/>
      <c r="F219" s="302">
        <f t="shared" si="4"/>
        <v>0</v>
      </c>
    </row>
    <row r="220" spans="1:6" s="278" customFormat="1">
      <c r="A220" s="549"/>
      <c r="B220" s="449" t="s">
        <v>227</v>
      </c>
      <c r="C220" s="530" t="s">
        <v>26</v>
      </c>
      <c r="D220" s="548">
        <v>5.9</v>
      </c>
      <c r="E220" s="13"/>
      <c r="F220" s="302">
        <f t="shared" si="4"/>
        <v>0</v>
      </c>
    </row>
    <row r="221" spans="1:6" s="278" customFormat="1">
      <c r="A221" s="549"/>
      <c r="B221" s="449" t="s">
        <v>146</v>
      </c>
      <c r="C221" s="530" t="s">
        <v>26</v>
      </c>
      <c r="D221" s="548">
        <f>16+7.9+6.2</f>
        <v>30.1</v>
      </c>
      <c r="E221" s="13"/>
      <c r="F221" s="302">
        <f t="shared" si="4"/>
        <v>0</v>
      </c>
    </row>
    <row r="222" spans="1:6" s="278" customFormat="1">
      <c r="A222" s="549"/>
      <c r="B222" s="449" t="s">
        <v>404</v>
      </c>
      <c r="C222" s="530" t="s">
        <v>26</v>
      </c>
      <c r="D222" s="548">
        <f>24.9+15.9+14.5+73.2</f>
        <v>128.5</v>
      </c>
      <c r="E222" s="13"/>
      <c r="F222" s="302">
        <f t="shared" si="4"/>
        <v>0</v>
      </c>
    </row>
    <row r="223" spans="1:6">
      <c r="A223" s="540"/>
      <c r="B223" s="541"/>
      <c r="C223" s="542"/>
      <c r="D223" s="543"/>
      <c r="E223" s="655"/>
      <c r="F223" s="302">
        <f t="shared" si="4"/>
        <v>0</v>
      </c>
    </row>
    <row r="224" spans="1:6" s="278" customFormat="1">
      <c r="A224" s="538">
        <f>IF(B224&gt;0,MAX(A$24:A220)+1,"")</f>
        <v>25</v>
      </c>
      <c r="B224" s="294" t="s">
        <v>149</v>
      </c>
      <c r="C224" s="547"/>
      <c r="D224" s="548"/>
      <c r="E224" s="13"/>
      <c r="F224" s="302">
        <f t="shared" si="4"/>
        <v>0</v>
      </c>
    </row>
    <row r="225" spans="1:6" s="278" customFormat="1" ht="38.25">
      <c r="A225" s="549"/>
      <c r="B225" s="449" t="s">
        <v>405</v>
      </c>
      <c r="C225" s="547"/>
      <c r="D225" s="548"/>
      <c r="E225" s="13"/>
      <c r="F225" s="302">
        <f t="shared" si="4"/>
        <v>0</v>
      </c>
    </row>
    <row r="226" spans="1:6" s="278" customFormat="1">
      <c r="A226" s="549"/>
      <c r="B226" s="449" t="s">
        <v>148</v>
      </c>
      <c r="C226" s="547"/>
      <c r="D226" s="548"/>
      <c r="E226" s="13"/>
      <c r="F226" s="302">
        <f t="shared" si="4"/>
        <v>0</v>
      </c>
    </row>
    <row r="227" spans="1:6" s="278" customFormat="1">
      <c r="A227" s="549"/>
      <c r="B227" s="449" t="s">
        <v>228</v>
      </c>
      <c r="C227" s="547"/>
      <c r="D227" s="548"/>
      <c r="E227" s="13"/>
      <c r="F227" s="302">
        <f t="shared" si="4"/>
        <v>0</v>
      </c>
    </row>
    <row r="228" spans="1:6" s="278" customFormat="1">
      <c r="A228" s="549"/>
      <c r="B228" s="449" t="s">
        <v>146</v>
      </c>
      <c r="C228" s="530" t="s">
        <v>26</v>
      </c>
      <c r="D228" s="548">
        <f>17.1+15.3+13.5+3.4</f>
        <v>49.3</v>
      </c>
      <c r="E228" s="13"/>
      <c r="F228" s="302">
        <f t="shared" si="4"/>
        <v>0</v>
      </c>
    </row>
    <row r="229" spans="1:6">
      <c r="A229" s="550"/>
      <c r="B229" s="551"/>
      <c r="C229" s="542"/>
      <c r="D229" s="552"/>
      <c r="E229" s="655"/>
      <c r="F229" s="302">
        <f t="shared" si="4"/>
        <v>0</v>
      </c>
    </row>
    <row r="230" spans="1:6" s="278" customFormat="1">
      <c r="A230" s="538">
        <f>IF(B230&gt;0,MAX(A$24:A228)+1,"")</f>
        <v>26</v>
      </c>
      <c r="B230" s="294" t="s">
        <v>407</v>
      </c>
      <c r="C230" s="530"/>
      <c r="D230" s="548"/>
      <c r="E230" s="13"/>
      <c r="F230" s="302">
        <f t="shared" si="4"/>
        <v>0</v>
      </c>
    </row>
    <row r="231" spans="1:6" s="278" customFormat="1" ht="51">
      <c r="A231" s="549"/>
      <c r="B231" s="434" t="s">
        <v>406</v>
      </c>
      <c r="C231" s="530"/>
      <c r="D231" s="548"/>
      <c r="E231" s="13"/>
      <c r="F231" s="302">
        <f t="shared" si="4"/>
        <v>0</v>
      </c>
    </row>
    <row r="232" spans="1:6" s="278" customFormat="1">
      <c r="A232" s="549"/>
      <c r="B232" s="434" t="s">
        <v>242</v>
      </c>
      <c r="C232" s="530" t="s">
        <v>26</v>
      </c>
      <c r="D232" s="548">
        <v>15.7</v>
      </c>
      <c r="E232" s="13"/>
      <c r="F232" s="302">
        <f t="shared" si="4"/>
        <v>0</v>
      </c>
    </row>
    <row r="233" spans="1:6">
      <c r="A233" s="550"/>
      <c r="B233" s="553"/>
      <c r="C233" s="542"/>
      <c r="D233" s="552"/>
      <c r="E233" s="655"/>
      <c r="F233" s="302">
        <f t="shared" si="4"/>
        <v>0</v>
      </c>
    </row>
    <row r="234" spans="1:6" s="278" customFormat="1">
      <c r="A234" s="538">
        <f>IF(B234&gt;0,MAX(A$24:A232)+1,"")</f>
        <v>27</v>
      </c>
      <c r="B234" s="294" t="s">
        <v>408</v>
      </c>
      <c r="C234" s="530"/>
      <c r="D234" s="548"/>
      <c r="E234" s="13"/>
      <c r="F234" s="302">
        <f t="shared" si="4"/>
        <v>0</v>
      </c>
    </row>
    <row r="235" spans="1:6" s="278" customFormat="1" ht="38.25">
      <c r="A235" s="549"/>
      <c r="B235" s="434" t="s">
        <v>409</v>
      </c>
      <c r="C235" s="530"/>
      <c r="D235" s="548"/>
      <c r="E235" s="13"/>
      <c r="F235" s="302">
        <f t="shared" si="4"/>
        <v>0</v>
      </c>
    </row>
    <row r="236" spans="1:6" s="278" customFormat="1" ht="28.5" customHeight="1">
      <c r="A236" s="284"/>
      <c r="B236" s="406" t="s">
        <v>170</v>
      </c>
      <c r="C236" s="530"/>
      <c r="D236" s="287"/>
      <c r="E236" s="13"/>
      <c r="F236" s="302">
        <f t="shared" si="4"/>
        <v>0</v>
      </c>
    </row>
    <row r="237" spans="1:6" s="278" customFormat="1" ht="38.25">
      <c r="A237" s="284"/>
      <c r="B237" s="406" t="s">
        <v>379</v>
      </c>
      <c r="C237" s="530"/>
      <c r="D237" s="287"/>
      <c r="E237" s="13"/>
      <c r="F237" s="302">
        <f t="shared" si="4"/>
        <v>0</v>
      </c>
    </row>
    <row r="238" spans="1:6" s="278" customFormat="1" ht="33.75" customHeight="1">
      <c r="A238" s="284"/>
      <c r="B238" s="406" t="s">
        <v>160</v>
      </c>
      <c r="C238" s="530"/>
      <c r="D238" s="287"/>
      <c r="E238" s="13"/>
      <c r="F238" s="302">
        <f t="shared" si="4"/>
        <v>0</v>
      </c>
    </row>
    <row r="239" spans="1:6" s="278" customFormat="1" ht="25.5">
      <c r="A239" s="284"/>
      <c r="B239" s="406" t="s">
        <v>410</v>
      </c>
      <c r="C239" s="530"/>
      <c r="D239" s="287"/>
      <c r="E239" s="13"/>
      <c r="F239" s="302">
        <f t="shared" si="4"/>
        <v>0</v>
      </c>
    </row>
    <row r="240" spans="1:6" s="278" customFormat="1">
      <c r="A240" s="549"/>
      <c r="B240" s="434" t="s">
        <v>463</v>
      </c>
      <c r="C240" s="530" t="s">
        <v>27</v>
      </c>
      <c r="D240" s="548">
        <v>10.4</v>
      </c>
      <c r="E240" s="13"/>
      <c r="F240" s="302">
        <f t="shared" si="4"/>
        <v>0</v>
      </c>
    </row>
    <row r="241" spans="1:7">
      <c r="A241" s="550"/>
      <c r="B241" s="553"/>
      <c r="C241" s="542"/>
      <c r="D241" s="552"/>
      <c r="E241" s="655"/>
      <c r="F241" s="302">
        <f t="shared" si="4"/>
        <v>0</v>
      </c>
    </row>
    <row r="242" spans="1:7" s="278" customFormat="1">
      <c r="A242" s="538">
        <f>IF(B242&gt;0,MAX(A$24:A240)+1,"")</f>
        <v>28</v>
      </c>
      <c r="B242" s="294" t="s">
        <v>411</v>
      </c>
      <c r="C242" s="530"/>
      <c r="D242" s="548"/>
      <c r="E242" s="13"/>
      <c r="F242" s="302">
        <f t="shared" si="4"/>
        <v>0</v>
      </c>
    </row>
    <row r="243" spans="1:7" s="278" customFormat="1" ht="38.25">
      <c r="A243" s="549"/>
      <c r="B243" s="434" t="s">
        <v>413</v>
      </c>
      <c r="C243" s="530"/>
      <c r="D243" s="548"/>
      <c r="E243" s="13"/>
      <c r="F243" s="302">
        <f t="shared" si="4"/>
        <v>0</v>
      </c>
    </row>
    <row r="244" spans="1:7" s="278" customFormat="1" ht="28.5" customHeight="1">
      <c r="A244" s="284"/>
      <c r="B244" s="406" t="s">
        <v>412</v>
      </c>
      <c r="C244" s="530"/>
      <c r="D244" s="287"/>
      <c r="E244" s="13"/>
      <c r="F244" s="302">
        <f t="shared" si="4"/>
        <v>0</v>
      </c>
    </row>
    <row r="245" spans="1:7" s="278" customFormat="1">
      <c r="A245" s="284"/>
      <c r="B245" s="406" t="s">
        <v>179</v>
      </c>
      <c r="C245" s="530"/>
      <c r="D245" s="287"/>
      <c r="E245" s="13"/>
      <c r="F245" s="302">
        <f t="shared" si="4"/>
        <v>0</v>
      </c>
    </row>
    <row r="246" spans="1:7" s="278" customFormat="1">
      <c r="A246" s="284"/>
      <c r="B246" s="406" t="s">
        <v>414</v>
      </c>
      <c r="C246" s="530" t="s">
        <v>34</v>
      </c>
      <c r="D246" s="287">
        <v>8</v>
      </c>
      <c r="E246" s="13"/>
      <c r="F246" s="302">
        <f t="shared" si="4"/>
        <v>0</v>
      </c>
    </row>
    <row r="247" spans="1:7" s="278" customFormat="1">
      <c r="A247" s="284"/>
      <c r="B247" s="406"/>
      <c r="C247" s="530"/>
      <c r="D247" s="287"/>
      <c r="E247" s="13"/>
      <c r="F247" s="302">
        <f t="shared" si="4"/>
        <v>0</v>
      </c>
    </row>
    <row r="248" spans="1:7" s="278" customFormat="1">
      <c r="A248" s="538">
        <f>IF(B248&gt;0,MAX(A$24:A246)+1,"")</f>
        <v>29</v>
      </c>
      <c r="B248" s="294" t="s">
        <v>5508</v>
      </c>
      <c r="C248" s="530"/>
      <c r="D248" s="287"/>
      <c r="E248" s="13"/>
      <c r="F248" s="302">
        <f t="shared" si="4"/>
        <v>0</v>
      </c>
      <c r="G248" s="308"/>
    </row>
    <row r="249" spans="1:7" s="278" customFormat="1" ht="135.75" customHeight="1">
      <c r="A249" s="284"/>
      <c r="B249" s="406" t="s">
        <v>1954</v>
      </c>
      <c r="C249" s="530"/>
      <c r="D249" s="287"/>
      <c r="E249" s="13"/>
      <c r="F249" s="302">
        <f t="shared" si="4"/>
        <v>0</v>
      </c>
    </row>
    <row r="250" spans="1:7" s="278" customFormat="1" ht="25.5">
      <c r="A250" s="284"/>
      <c r="B250" s="406" t="s">
        <v>1356</v>
      </c>
      <c r="C250" s="530"/>
      <c r="D250" s="287"/>
      <c r="E250" s="13"/>
      <c r="F250" s="302">
        <f t="shared" si="4"/>
        <v>0</v>
      </c>
    </row>
    <row r="251" spans="1:7" s="278" customFormat="1">
      <c r="A251" s="284"/>
      <c r="B251" s="406" t="s">
        <v>1523</v>
      </c>
      <c r="C251" s="530"/>
      <c r="D251" s="287"/>
      <c r="E251" s="13"/>
      <c r="F251" s="302">
        <f t="shared" si="4"/>
        <v>0</v>
      </c>
    </row>
    <row r="252" spans="1:7" s="278" customFormat="1">
      <c r="A252" s="284"/>
      <c r="B252" s="406" t="s">
        <v>1451</v>
      </c>
      <c r="C252" s="530" t="s">
        <v>27</v>
      </c>
      <c r="D252" s="287">
        <v>40.4</v>
      </c>
      <c r="E252" s="13"/>
      <c r="F252" s="302">
        <f t="shared" si="4"/>
        <v>0</v>
      </c>
    </row>
    <row r="253" spans="1:7" s="278" customFormat="1">
      <c r="A253" s="284"/>
      <c r="B253" s="406" t="s">
        <v>1460</v>
      </c>
      <c r="C253" s="530" t="s">
        <v>26</v>
      </c>
      <c r="D253" s="287">
        <v>18.399999999999999</v>
      </c>
      <c r="E253" s="13"/>
      <c r="F253" s="302">
        <f t="shared" si="4"/>
        <v>0</v>
      </c>
    </row>
    <row r="254" spans="1:7" s="278" customFormat="1">
      <c r="A254" s="284"/>
      <c r="B254" s="406" t="s">
        <v>1461</v>
      </c>
      <c r="C254" s="530" t="s">
        <v>26</v>
      </c>
      <c r="D254" s="287">
        <v>18.399999999999999</v>
      </c>
      <c r="E254" s="13"/>
      <c r="F254" s="302">
        <f t="shared" si="4"/>
        <v>0</v>
      </c>
    </row>
    <row r="255" spans="1:7" s="278" customFormat="1">
      <c r="A255" s="284"/>
      <c r="B255" s="406"/>
      <c r="C255" s="530"/>
      <c r="D255" s="287"/>
      <c r="E255" s="13"/>
      <c r="F255" s="302">
        <f t="shared" si="4"/>
        <v>0</v>
      </c>
      <c r="G255" s="324"/>
    </row>
    <row r="256" spans="1:7" s="278" customFormat="1">
      <c r="A256" s="538">
        <f>IF(B256&gt;0,MAX(A$24:A254)+1,"")</f>
        <v>30</v>
      </c>
      <c r="B256" s="294" t="s">
        <v>2107</v>
      </c>
      <c r="C256" s="530"/>
      <c r="D256" s="287"/>
      <c r="E256" s="13"/>
      <c r="F256" s="302">
        <f t="shared" si="4"/>
        <v>0</v>
      </c>
      <c r="G256" s="324"/>
    </row>
    <row r="257" spans="1:7" s="278" customFormat="1" ht="51">
      <c r="A257" s="284"/>
      <c r="B257" s="406" t="s">
        <v>2108</v>
      </c>
      <c r="C257" s="530"/>
      <c r="D257" s="287"/>
      <c r="E257" s="13"/>
      <c r="F257" s="302">
        <f t="shared" si="4"/>
        <v>0</v>
      </c>
      <c r="G257" s="324"/>
    </row>
    <row r="258" spans="1:7" s="278" customFormat="1" ht="51">
      <c r="A258" s="284"/>
      <c r="B258" s="406" t="s">
        <v>1905</v>
      </c>
      <c r="C258" s="530"/>
      <c r="D258" s="287"/>
      <c r="E258" s="13"/>
      <c r="F258" s="302">
        <f t="shared" si="4"/>
        <v>0</v>
      </c>
      <c r="G258" s="324"/>
    </row>
    <row r="259" spans="1:7" s="278" customFormat="1">
      <c r="A259" s="284"/>
      <c r="B259" s="406" t="s">
        <v>2110</v>
      </c>
      <c r="C259" s="530"/>
      <c r="D259" s="287"/>
      <c r="E259" s="13"/>
      <c r="F259" s="302">
        <f t="shared" si="4"/>
        <v>0</v>
      </c>
      <c r="G259" s="324"/>
    </row>
    <row r="260" spans="1:7" s="278" customFormat="1">
      <c r="A260" s="284"/>
      <c r="B260" s="406" t="s">
        <v>2104</v>
      </c>
      <c r="C260" s="530"/>
      <c r="D260" s="287"/>
      <c r="E260" s="13"/>
      <c r="F260" s="302">
        <f t="shared" si="4"/>
        <v>0</v>
      </c>
      <c r="G260" s="324"/>
    </row>
    <row r="261" spans="1:7" s="278" customFormat="1">
      <c r="A261" s="284"/>
      <c r="B261" s="406" t="s">
        <v>2111</v>
      </c>
      <c r="C261" s="530" t="s">
        <v>34</v>
      </c>
      <c r="D261" s="287">
        <v>18</v>
      </c>
      <c r="E261" s="13"/>
      <c r="F261" s="302">
        <f t="shared" si="4"/>
        <v>0</v>
      </c>
      <c r="G261" s="324"/>
    </row>
    <row r="262" spans="1:7" s="278" customFormat="1">
      <c r="A262" s="284"/>
      <c r="B262" s="406" t="s">
        <v>2112</v>
      </c>
      <c r="C262" s="530" t="s">
        <v>34</v>
      </c>
      <c r="D262" s="287">
        <v>18</v>
      </c>
      <c r="E262" s="13"/>
      <c r="F262" s="302">
        <f t="shared" si="4"/>
        <v>0</v>
      </c>
      <c r="G262" s="324"/>
    </row>
    <row r="263" spans="1:7" s="278" customFormat="1">
      <c r="A263" s="284"/>
      <c r="B263" s="406"/>
      <c r="C263" s="530"/>
      <c r="D263" s="287"/>
      <c r="E263" s="13"/>
      <c r="F263" s="302">
        <f t="shared" si="4"/>
        <v>0</v>
      </c>
      <c r="G263" s="324"/>
    </row>
    <row r="264" spans="1:7" s="278" customFormat="1">
      <c r="A264" s="538">
        <f>IF(B264&gt;0,MAX(A$24:A260)+1,"")</f>
        <v>31</v>
      </c>
      <c r="B264" s="294" t="s">
        <v>1906</v>
      </c>
      <c r="C264" s="530"/>
      <c r="D264" s="287"/>
      <c r="E264" s="13"/>
      <c r="F264" s="302">
        <f t="shared" si="4"/>
        <v>0</v>
      </c>
      <c r="G264" s="324"/>
    </row>
    <row r="265" spans="1:7" s="278" customFormat="1" ht="51">
      <c r="A265" s="284"/>
      <c r="B265" s="406" t="s">
        <v>2109</v>
      </c>
      <c r="C265" s="530"/>
      <c r="D265" s="287"/>
      <c r="E265" s="13"/>
      <c r="F265" s="302">
        <f t="shared" si="4"/>
        <v>0</v>
      </c>
      <c r="G265" s="324"/>
    </row>
    <row r="266" spans="1:7" s="278" customFormat="1" ht="51">
      <c r="A266" s="284"/>
      <c r="B266" s="406" t="s">
        <v>1905</v>
      </c>
      <c r="C266" s="530"/>
      <c r="D266" s="287"/>
      <c r="E266" s="13"/>
      <c r="F266" s="302">
        <f t="shared" si="4"/>
        <v>0</v>
      </c>
      <c r="G266" s="324"/>
    </row>
    <row r="267" spans="1:7" s="278" customFormat="1">
      <c r="A267" s="284"/>
      <c r="B267" s="406" t="s">
        <v>2110</v>
      </c>
      <c r="C267" s="530"/>
      <c r="D267" s="287"/>
      <c r="E267" s="13"/>
      <c r="F267" s="302">
        <f t="shared" ref="F267" si="5">E267*D267</f>
        <v>0</v>
      </c>
      <c r="G267" s="324"/>
    </row>
    <row r="268" spans="1:7" s="278" customFormat="1">
      <c r="A268" s="284"/>
      <c r="B268" s="406" t="s">
        <v>254</v>
      </c>
      <c r="C268" s="530"/>
      <c r="D268" s="287"/>
      <c r="E268" s="13"/>
      <c r="F268" s="302">
        <f t="shared" si="4"/>
        <v>0</v>
      </c>
    </row>
    <row r="269" spans="1:7" s="278" customFormat="1">
      <c r="A269" s="284"/>
      <c r="B269" s="406" t="s">
        <v>2111</v>
      </c>
      <c r="C269" s="530" t="s">
        <v>34</v>
      </c>
      <c r="D269" s="287">
        <v>26</v>
      </c>
      <c r="E269" s="13"/>
      <c r="F269" s="302">
        <f t="shared" ref="F269:F270" si="6">E269*D269</f>
        <v>0</v>
      </c>
      <c r="G269" s="324"/>
    </row>
    <row r="270" spans="1:7" s="278" customFormat="1">
      <c r="A270" s="284"/>
      <c r="B270" s="406" t="s">
        <v>2112</v>
      </c>
      <c r="C270" s="530" t="s">
        <v>34</v>
      </c>
      <c r="D270" s="287">
        <v>26</v>
      </c>
      <c r="E270" s="13"/>
      <c r="F270" s="302">
        <f t="shared" si="6"/>
        <v>0</v>
      </c>
      <c r="G270" s="324"/>
    </row>
    <row r="271" spans="1:7" s="278" customFormat="1">
      <c r="A271" s="284"/>
      <c r="B271" s="406"/>
      <c r="C271" s="530"/>
      <c r="D271" s="287"/>
      <c r="E271" s="13"/>
      <c r="F271" s="302">
        <f t="shared" ref="F271" si="7">E271*D271</f>
        <v>0</v>
      </c>
    </row>
    <row r="272" spans="1:7" s="278" customFormat="1">
      <c r="A272" s="289" t="s">
        <v>121</v>
      </c>
      <c r="B272" s="290" t="s">
        <v>120</v>
      </c>
      <c r="C272" s="534"/>
      <c r="D272" s="535"/>
      <c r="E272" s="654"/>
      <c r="F272" s="536">
        <f>SUM(F17:F271)</f>
        <v>0</v>
      </c>
    </row>
    <row r="273" spans="1:7" s="278" customFormat="1">
      <c r="A273" s="284"/>
      <c r="B273" s="294"/>
      <c r="C273" s="530"/>
      <c r="D273" s="287"/>
      <c r="E273" s="13"/>
      <c r="F273" s="288"/>
    </row>
    <row r="274" spans="1:7" s="278" customFormat="1">
      <c r="A274" s="289" t="s">
        <v>119</v>
      </c>
      <c r="B274" s="290" t="s">
        <v>145</v>
      </c>
      <c r="C274" s="534"/>
      <c r="D274" s="535"/>
      <c r="E274" s="654"/>
      <c r="F274" s="536"/>
    </row>
    <row r="275" spans="1:7" s="278" customFormat="1">
      <c r="A275" s="284"/>
      <c r="B275" s="294"/>
      <c r="C275" s="530"/>
      <c r="D275" s="287"/>
      <c r="E275" s="13"/>
      <c r="F275" s="288"/>
    </row>
    <row r="276" spans="1:7" s="278" customFormat="1">
      <c r="A276" s="284"/>
      <c r="B276" s="554" t="s">
        <v>270</v>
      </c>
      <c r="C276" s="539"/>
      <c r="D276" s="287"/>
      <c r="E276" s="45"/>
      <c r="F276" s="302"/>
    </row>
    <row r="277" spans="1:7" s="278" customFormat="1" ht="51">
      <c r="A277" s="284"/>
      <c r="B277" s="554" t="s">
        <v>1524</v>
      </c>
      <c r="C277" s="539"/>
      <c r="D277" s="287"/>
      <c r="E277" s="45"/>
      <c r="F277" s="302"/>
      <c r="G277" s="308"/>
    </row>
    <row r="278" spans="1:7" s="278" customFormat="1" ht="25.5">
      <c r="A278" s="284"/>
      <c r="B278" s="555" t="s">
        <v>500</v>
      </c>
      <c r="C278" s="530"/>
      <c r="D278" s="287"/>
      <c r="E278" s="13"/>
      <c r="F278" s="288"/>
      <c r="G278" s="556"/>
    </row>
    <row r="279" spans="1:7" s="278" customFormat="1">
      <c r="A279" s="284"/>
      <c r="B279" s="555"/>
      <c r="C279" s="530"/>
      <c r="D279" s="287"/>
      <c r="E279" s="13"/>
      <c r="F279" s="288"/>
    </row>
    <row r="280" spans="1:7" s="278" customFormat="1">
      <c r="A280" s="284"/>
      <c r="B280" s="474" t="s">
        <v>260</v>
      </c>
      <c r="C280" s="539"/>
      <c r="D280" s="287"/>
      <c r="E280" s="45"/>
      <c r="F280" s="302"/>
    </row>
    <row r="281" spans="1:7" s="278" customFormat="1">
      <c r="A281" s="284"/>
      <c r="B281" s="554"/>
      <c r="C281" s="539"/>
      <c r="D281" s="287"/>
      <c r="E281" s="45"/>
      <c r="F281" s="302"/>
    </row>
    <row r="282" spans="1:7" s="278" customFormat="1">
      <c r="A282" s="557">
        <f>IF(B282&gt;0,MAX(A272:A276)+1,"")</f>
        <v>1</v>
      </c>
      <c r="B282" s="474" t="s">
        <v>261</v>
      </c>
      <c r="C282" s="539"/>
      <c r="D282" s="287"/>
      <c r="E282" s="45"/>
      <c r="F282" s="302">
        <f t="shared" ref="F282:F287" si="8">D282*E282</f>
        <v>0</v>
      </c>
    </row>
    <row r="283" spans="1:7" s="278" customFormat="1" ht="38.25">
      <c r="A283" s="284"/>
      <c r="B283" s="406" t="s">
        <v>262</v>
      </c>
      <c r="C283" s="539"/>
      <c r="D283" s="287"/>
      <c r="E283" s="45"/>
      <c r="F283" s="302">
        <f t="shared" si="8"/>
        <v>0</v>
      </c>
    </row>
    <row r="284" spans="1:7" s="278" customFormat="1" ht="51">
      <c r="A284" s="284"/>
      <c r="B284" s="406" t="s">
        <v>263</v>
      </c>
      <c r="C284" s="530"/>
      <c r="D284" s="287"/>
      <c r="E284" s="13"/>
      <c r="F284" s="302">
        <f t="shared" si="8"/>
        <v>0</v>
      </c>
    </row>
    <row r="285" spans="1:7" s="278" customFormat="1" ht="38.25">
      <c r="A285" s="284"/>
      <c r="B285" s="406" t="s">
        <v>269</v>
      </c>
      <c r="C285" s="530"/>
      <c r="D285" s="287"/>
      <c r="E285" s="13"/>
      <c r="F285" s="302"/>
    </row>
    <row r="286" spans="1:7" s="278" customFormat="1">
      <c r="A286" s="284"/>
      <c r="B286" s="406" t="s">
        <v>264</v>
      </c>
      <c r="C286" s="539"/>
      <c r="D286" s="287"/>
      <c r="E286" s="45"/>
      <c r="F286" s="302">
        <f t="shared" si="8"/>
        <v>0</v>
      </c>
    </row>
    <row r="287" spans="1:7" s="278" customFormat="1">
      <c r="A287" s="284"/>
      <c r="B287" s="406" t="s">
        <v>265</v>
      </c>
      <c r="C287" s="539"/>
      <c r="D287" s="287"/>
      <c r="E287" s="45"/>
      <c r="F287" s="302">
        <f t="shared" si="8"/>
        <v>0</v>
      </c>
    </row>
    <row r="288" spans="1:7" s="278" customFormat="1">
      <c r="A288" s="284"/>
      <c r="B288" s="406" t="s">
        <v>266</v>
      </c>
      <c r="C288" s="539" t="s">
        <v>27</v>
      </c>
      <c r="D288" s="287">
        <v>92.3</v>
      </c>
      <c r="E288" s="45"/>
      <c r="F288" s="302">
        <f>D288*E288</f>
        <v>0</v>
      </c>
    </row>
    <row r="289" spans="1:6" s="278" customFormat="1">
      <c r="A289" s="284"/>
      <c r="B289" s="406" t="s">
        <v>267</v>
      </c>
      <c r="C289" s="539" t="s">
        <v>27</v>
      </c>
      <c r="D289" s="287">
        <v>86.1</v>
      </c>
      <c r="E289" s="45"/>
      <c r="F289" s="302">
        <f t="shared" ref="F289:F352" si="9">D289*E289</f>
        <v>0</v>
      </c>
    </row>
    <row r="290" spans="1:6" s="278" customFormat="1">
      <c r="A290" s="284"/>
      <c r="B290" s="406" t="s">
        <v>268</v>
      </c>
      <c r="C290" s="539" t="s">
        <v>27</v>
      </c>
      <c r="D290" s="287">
        <f>92.3+86.1</f>
        <v>178.4</v>
      </c>
      <c r="E290" s="45"/>
      <c r="F290" s="302">
        <f t="shared" si="9"/>
        <v>0</v>
      </c>
    </row>
    <row r="291" spans="1:6" s="278" customFormat="1">
      <c r="A291" s="284"/>
      <c r="B291" s="474"/>
      <c r="C291" s="539"/>
      <c r="D291" s="287"/>
      <c r="E291" s="45"/>
      <c r="F291" s="302">
        <f t="shared" si="9"/>
        <v>0</v>
      </c>
    </row>
    <row r="292" spans="1:6" s="278" customFormat="1">
      <c r="A292" s="557">
        <f>IF(B292&gt;0,MAX(A281:A291)+1,"")</f>
        <v>2</v>
      </c>
      <c r="B292" s="474" t="s">
        <v>271</v>
      </c>
      <c r="C292" s="539"/>
      <c r="D292" s="287"/>
      <c r="E292" s="45"/>
      <c r="F292" s="302">
        <f t="shared" si="9"/>
        <v>0</v>
      </c>
    </row>
    <row r="293" spans="1:6" s="278" customFormat="1" ht="216.75">
      <c r="A293" s="284"/>
      <c r="B293" s="406" t="s">
        <v>1525</v>
      </c>
      <c r="C293" s="539"/>
      <c r="D293" s="287"/>
      <c r="E293" s="45"/>
      <c r="F293" s="302">
        <f t="shared" si="9"/>
        <v>0</v>
      </c>
    </row>
    <row r="294" spans="1:6" s="278" customFormat="1">
      <c r="A294" s="284"/>
      <c r="B294" s="406" t="s">
        <v>264</v>
      </c>
      <c r="C294" s="539"/>
      <c r="D294" s="287"/>
      <c r="E294" s="45"/>
      <c r="F294" s="302">
        <f t="shared" si="9"/>
        <v>0</v>
      </c>
    </row>
    <row r="295" spans="1:6" s="278" customFormat="1">
      <c r="A295" s="284"/>
      <c r="B295" s="406" t="s">
        <v>272</v>
      </c>
      <c r="C295" s="539"/>
      <c r="D295" s="287"/>
      <c r="E295" s="45"/>
      <c r="F295" s="302">
        <f t="shared" si="9"/>
        <v>0</v>
      </c>
    </row>
    <row r="296" spans="1:6" s="278" customFormat="1">
      <c r="A296" s="284"/>
      <c r="B296" s="406" t="s">
        <v>243</v>
      </c>
      <c r="C296" s="539" t="s">
        <v>27</v>
      </c>
      <c r="D296" s="287">
        <f>92.3+86.1</f>
        <v>178.4</v>
      </c>
      <c r="E296" s="45"/>
      <c r="F296" s="302">
        <f t="shared" si="9"/>
        <v>0</v>
      </c>
    </row>
    <row r="297" spans="1:6" s="278" customFormat="1">
      <c r="A297" s="284"/>
      <c r="B297" s="406" t="s">
        <v>273</v>
      </c>
      <c r="C297" s="539" t="s">
        <v>26</v>
      </c>
      <c r="D297" s="287">
        <f>57+118.6</f>
        <v>175.6</v>
      </c>
      <c r="E297" s="45"/>
      <c r="F297" s="302">
        <f t="shared" si="9"/>
        <v>0</v>
      </c>
    </row>
    <row r="298" spans="1:6" s="278" customFormat="1">
      <c r="A298" s="284"/>
      <c r="B298" s="474"/>
      <c r="C298" s="539"/>
      <c r="D298" s="287"/>
      <c r="E298" s="45"/>
      <c r="F298" s="302">
        <f t="shared" si="9"/>
        <v>0</v>
      </c>
    </row>
    <row r="299" spans="1:6" s="278" customFormat="1">
      <c r="A299" s="557">
        <f>IF(B299&gt;0,MAX(A292:A298)+1,"")</f>
        <v>3</v>
      </c>
      <c r="B299" s="474" t="s">
        <v>274</v>
      </c>
      <c r="C299" s="539"/>
      <c r="D299" s="287"/>
      <c r="E299" s="45"/>
      <c r="F299" s="302">
        <f t="shared" si="9"/>
        <v>0</v>
      </c>
    </row>
    <row r="300" spans="1:6" s="278" customFormat="1" ht="201" customHeight="1">
      <c r="A300" s="284"/>
      <c r="B300" s="406" t="s">
        <v>2050</v>
      </c>
      <c r="C300" s="539"/>
      <c r="D300" s="287"/>
      <c r="E300" s="45"/>
      <c r="F300" s="302">
        <f t="shared" si="9"/>
        <v>0</v>
      </c>
    </row>
    <row r="301" spans="1:6" s="278" customFormat="1" ht="204">
      <c r="A301" s="284"/>
      <c r="B301" s="406" t="s">
        <v>275</v>
      </c>
      <c r="C301" s="539"/>
      <c r="D301" s="287"/>
      <c r="E301" s="45"/>
      <c r="F301" s="302">
        <f t="shared" si="9"/>
        <v>0</v>
      </c>
    </row>
    <row r="302" spans="1:6" s="278" customFormat="1">
      <c r="A302" s="284"/>
      <c r="B302" s="406" t="s">
        <v>264</v>
      </c>
      <c r="C302" s="539"/>
      <c r="D302" s="287"/>
      <c r="E302" s="45"/>
      <c r="F302" s="302">
        <f t="shared" si="9"/>
        <v>0</v>
      </c>
    </row>
    <row r="303" spans="1:6" s="278" customFormat="1">
      <c r="A303" s="284"/>
      <c r="B303" s="406" t="s">
        <v>180</v>
      </c>
      <c r="C303" s="539" t="s">
        <v>27</v>
      </c>
      <c r="D303" s="287">
        <f>92.3+86.1</f>
        <v>178.4</v>
      </c>
      <c r="E303" s="45"/>
      <c r="F303" s="302">
        <f t="shared" si="9"/>
        <v>0</v>
      </c>
    </row>
    <row r="304" spans="1:6" s="278" customFormat="1">
      <c r="A304" s="284"/>
      <c r="B304" s="474"/>
      <c r="C304" s="539"/>
      <c r="D304" s="287"/>
      <c r="E304" s="45"/>
      <c r="F304" s="302">
        <f t="shared" si="9"/>
        <v>0</v>
      </c>
    </row>
    <row r="305" spans="1:6" s="278" customFormat="1">
      <c r="A305" s="557">
        <f>IF(B305&gt;0,MAX(A297:A304)+1,"")</f>
        <v>4</v>
      </c>
      <c r="B305" s="474" t="s">
        <v>276</v>
      </c>
      <c r="C305" s="539"/>
      <c r="D305" s="287"/>
      <c r="E305" s="45"/>
      <c r="F305" s="302">
        <f t="shared" si="9"/>
        <v>0</v>
      </c>
    </row>
    <row r="306" spans="1:6" s="278" customFormat="1" ht="140.25">
      <c r="A306" s="284"/>
      <c r="B306" s="406" t="s">
        <v>277</v>
      </c>
      <c r="C306" s="539"/>
      <c r="D306" s="287"/>
      <c r="E306" s="45"/>
      <c r="F306" s="302">
        <f t="shared" si="9"/>
        <v>0</v>
      </c>
    </row>
    <row r="307" spans="1:6" s="278" customFormat="1">
      <c r="A307" s="284"/>
      <c r="B307" s="406" t="s">
        <v>332</v>
      </c>
      <c r="C307" s="539"/>
      <c r="D307" s="287"/>
      <c r="E307" s="45"/>
      <c r="F307" s="302">
        <f t="shared" si="9"/>
        <v>0</v>
      </c>
    </row>
    <row r="308" spans="1:6" s="278" customFormat="1">
      <c r="A308" s="284"/>
      <c r="B308" s="406" t="s">
        <v>180</v>
      </c>
      <c r="C308" s="539" t="s">
        <v>27</v>
      </c>
      <c r="D308" s="287">
        <f>92.3+86.1+2.9</f>
        <v>181.3</v>
      </c>
      <c r="E308" s="45"/>
      <c r="F308" s="302">
        <f t="shared" si="9"/>
        <v>0</v>
      </c>
    </row>
    <row r="309" spans="1:6" s="278" customFormat="1">
      <c r="A309" s="284"/>
      <c r="B309" s="474"/>
      <c r="C309" s="539"/>
      <c r="D309" s="287"/>
      <c r="E309" s="45"/>
      <c r="F309" s="302">
        <f t="shared" si="9"/>
        <v>0</v>
      </c>
    </row>
    <row r="310" spans="1:6" s="278" customFormat="1">
      <c r="A310" s="557">
        <f>IF(B310&gt;0,MAX(A302:A309)+1,"")</f>
        <v>5</v>
      </c>
      <c r="B310" s="294" t="s">
        <v>171</v>
      </c>
      <c r="C310" s="530"/>
      <c r="D310" s="287"/>
      <c r="E310" s="13"/>
      <c r="F310" s="302">
        <f t="shared" si="9"/>
        <v>0</v>
      </c>
    </row>
    <row r="311" spans="1:6" s="278" customFormat="1" ht="153">
      <c r="A311" s="284"/>
      <c r="B311" s="406" t="s">
        <v>1955</v>
      </c>
      <c r="C311" s="530"/>
      <c r="D311" s="287"/>
      <c r="E311" s="13"/>
      <c r="F311" s="302">
        <f t="shared" si="9"/>
        <v>0</v>
      </c>
    </row>
    <row r="312" spans="1:6" s="278" customFormat="1" ht="36.6" customHeight="1">
      <c r="A312" s="284"/>
      <c r="B312" s="406" t="s">
        <v>172</v>
      </c>
      <c r="C312" s="530"/>
      <c r="D312" s="287"/>
      <c r="E312" s="13"/>
      <c r="F312" s="302">
        <f t="shared" si="9"/>
        <v>0</v>
      </c>
    </row>
    <row r="313" spans="1:6" s="278" customFormat="1" ht="25.5">
      <c r="A313" s="284"/>
      <c r="B313" s="406" t="s">
        <v>135</v>
      </c>
      <c r="C313" s="530"/>
      <c r="D313" s="287"/>
      <c r="E313" s="13"/>
      <c r="F313" s="302">
        <f t="shared" si="9"/>
        <v>0</v>
      </c>
    </row>
    <row r="314" spans="1:6" s="278" customFormat="1">
      <c r="A314" s="284"/>
      <c r="B314" s="406" t="s">
        <v>245</v>
      </c>
      <c r="C314" s="530"/>
      <c r="D314" s="287"/>
      <c r="E314" s="13"/>
      <c r="F314" s="302">
        <f t="shared" si="9"/>
        <v>0</v>
      </c>
    </row>
    <row r="315" spans="1:6" s="278" customFormat="1">
      <c r="A315" s="284"/>
      <c r="B315" s="406" t="s">
        <v>340</v>
      </c>
      <c r="C315" s="530"/>
      <c r="D315" s="287"/>
      <c r="E315" s="13"/>
      <c r="F315" s="302">
        <f t="shared" si="9"/>
        <v>0</v>
      </c>
    </row>
    <row r="316" spans="1:6" s="278" customFormat="1">
      <c r="A316" s="284"/>
      <c r="B316" s="406" t="s">
        <v>173</v>
      </c>
      <c r="C316" s="539"/>
      <c r="D316" s="287"/>
      <c r="E316" s="45"/>
      <c r="F316" s="302">
        <f t="shared" si="9"/>
        <v>0</v>
      </c>
    </row>
    <row r="317" spans="1:6" s="278" customFormat="1">
      <c r="A317" s="284"/>
      <c r="B317" s="406" t="s">
        <v>174</v>
      </c>
      <c r="C317" s="539" t="s">
        <v>27</v>
      </c>
      <c r="D317" s="287">
        <f>55.6+148+146.2</f>
        <v>349.8</v>
      </c>
      <c r="E317" s="45"/>
      <c r="F317" s="302">
        <f t="shared" si="9"/>
        <v>0</v>
      </c>
    </row>
    <row r="318" spans="1:6" s="278" customFormat="1">
      <c r="A318" s="284"/>
      <c r="B318" s="406" t="s">
        <v>316</v>
      </c>
      <c r="C318" s="539" t="s">
        <v>27</v>
      </c>
      <c r="D318" s="287">
        <f>55.6+148+146.2</f>
        <v>349.8</v>
      </c>
      <c r="E318" s="45"/>
      <c r="F318" s="302">
        <f t="shared" si="9"/>
        <v>0</v>
      </c>
    </row>
    <row r="319" spans="1:6" s="278" customFormat="1">
      <c r="A319" s="284"/>
      <c r="B319" s="406" t="s">
        <v>317</v>
      </c>
      <c r="C319" s="539" t="s">
        <v>26</v>
      </c>
      <c r="D319" s="287">
        <f>33.5+123.9+127.9</f>
        <v>285.3</v>
      </c>
      <c r="E319" s="45"/>
      <c r="F319" s="302">
        <f t="shared" si="9"/>
        <v>0</v>
      </c>
    </row>
    <row r="320" spans="1:6" s="278" customFormat="1">
      <c r="A320" s="284"/>
      <c r="B320" s="406"/>
      <c r="C320" s="539"/>
      <c r="D320" s="287"/>
      <c r="E320" s="45"/>
      <c r="F320" s="302">
        <f t="shared" si="9"/>
        <v>0</v>
      </c>
    </row>
    <row r="321" spans="1:6" s="278" customFormat="1">
      <c r="A321" s="557">
        <f>IF(B321&gt;0,MAX(A308:A320)+1,"")</f>
        <v>6</v>
      </c>
      <c r="B321" s="294" t="s">
        <v>341</v>
      </c>
      <c r="C321" s="530"/>
      <c r="D321" s="287"/>
      <c r="E321" s="13"/>
      <c r="F321" s="302">
        <f t="shared" si="9"/>
        <v>0</v>
      </c>
    </row>
    <row r="322" spans="1:6" s="278" customFormat="1" ht="153">
      <c r="A322" s="284"/>
      <c r="B322" s="406" t="s">
        <v>1955</v>
      </c>
      <c r="C322" s="530"/>
      <c r="D322" s="287"/>
      <c r="E322" s="13"/>
      <c r="F322" s="302">
        <f t="shared" si="9"/>
        <v>0</v>
      </c>
    </row>
    <row r="323" spans="1:6" s="278" customFormat="1" ht="51">
      <c r="A323" s="284"/>
      <c r="B323" s="406" t="s">
        <v>342</v>
      </c>
      <c r="C323" s="530"/>
      <c r="D323" s="287"/>
      <c r="E323" s="13"/>
      <c r="F323" s="302">
        <f t="shared" si="9"/>
        <v>0</v>
      </c>
    </row>
    <row r="324" spans="1:6" s="278" customFormat="1" ht="25.5">
      <c r="A324" s="284"/>
      <c r="B324" s="406" t="s">
        <v>135</v>
      </c>
      <c r="C324" s="530"/>
      <c r="D324" s="287"/>
      <c r="E324" s="13"/>
      <c r="F324" s="302">
        <f t="shared" si="9"/>
        <v>0</v>
      </c>
    </row>
    <row r="325" spans="1:6" s="278" customFormat="1">
      <c r="A325" s="284"/>
      <c r="B325" s="406" t="s">
        <v>245</v>
      </c>
      <c r="C325" s="530"/>
      <c r="D325" s="287"/>
      <c r="E325" s="13"/>
      <c r="F325" s="302">
        <f t="shared" si="9"/>
        <v>0</v>
      </c>
    </row>
    <row r="326" spans="1:6" s="278" customFormat="1">
      <c r="A326" s="284"/>
      <c r="B326" s="406" t="s">
        <v>343</v>
      </c>
      <c r="C326" s="530"/>
      <c r="D326" s="287"/>
      <c r="E326" s="13"/>
      <c r="F326" s="302">
        <f t="shared" si="9"/>
        <v>0</v>
      </c>
    </row>
    <row r="327" spans="1:6" s="278" customFormat="1">
      <c r="A327" s="284"/>
      <c r="B327" s="406" t="s">
        <v>173</v>
      </c>
      <c r="C327" s="539"/>
      <c r="D327" s="287"/>
      <c r="E327" s="45"/>
      <c r="F327" s="302">
        <f t="shared" si="9"/>
        <v>0</v>
      </c>
    </row>
    <row r="328" spans="1:6" s="278" customFormat="1">
      <c r="A328" s="284"/>
      <c r="B328" s="406" t="s">
        <v>344</v>
      </c>
      <c r="C328" s="539" t="s">
        <v>27</v>
      </c>
      <c r="D328" s="287">
        <f>111.3</f>
        <v>111.3</v>
      </c>
      <c r="E328" s="45"/>
      <c r="F328" s="302">
        <f t="shared" si="9"/>
        <v>0</v>
      </c>
    </row>
    <row r="329" spans="1:6" s="278" customFormat="1">
      <c r="A329" s="284"/>
      <c r="B329" s="406" t="s">
        <v>346</v>
      </c>
      <c r="C329" s="539" t="s">
        <v>27</v>
      </c>
      <c r="D329" s="287">
        <f>111.3</f>
        <v>111.3</v>
      </c>
      <c r="E329" s="45"/>
      <c r="F329" s="302">
        <f t="shared" si="9"/>
        <v>0</v>
      </c>
    </row>
    <row r="330" spans="1:6" s="278" customFormat="1">
      <c r="A330" s="284"/>
      <c r="B330" s="406" t="s">
        <v>345</v>
      </c>
      <c r="C330" s="539" t="s">
        <v>27</v>
      </c>
      <c r="D330" s="287">
        <f>111.3</f>
        <v>111.3</v>
      </c>
      <c r="E330" s="45"/>
      <c r="F330" s="302">
        <f t="shared" si="9"/>
        <v>0</v>
      </c>
    </row>
    <row r="331" spans="1:6" s="278" customFormat="1">
      <c r="A331" s="284"/>
      <c r="B331" s="406" t="s">
        <v>347</v>
      </c>
      <c r="C331" s="539" t="s">
        <v>26</v>
      </c>
      <c r="D331" s="287">
        <v>74.099999999999994</v>
      </c>
      <c r="E331" s="45"/>
      <c r="F331" s="302">
        <f t="shared" si="9"/>
        <v>0</v>
      </c>
    </row>
    <row r="332" spans="1:6" s="278" customFormat="1">
      <c r="A332" s="284"/>
      <c r="B332" s="406"/>
      <c r="C332" s="539"/>
      <c r="D332" s="287"/>
      <c r="E332" s="45"/>
      <c r="F332" s="302">
        <f t="shared" si="9"/>
        <v>0</v>
      </c>
    </row>
    <row r="333" spans="1:6" s="278" customFormat="1">
      <c r="A333" s="557">
        <f>IF(B333&gt;0,MAX(A320:A332)+1,"")</f>
        <v>7</v>
      </c>
      <c r="B333" s="294" t="s">
        <v>351</v>
      </c>
      <c r="C333" s="530"/>
      <c r="D333" s="287"/>
      <c r="E333" s="13"/>
      <c r="F333" s="302">
        <f t="shared" si="9"/>
        <v>0</v>
      </c>
    </row>
    <row r="334" spans="1:6" s="278" customFormat="1" ht="131.25" customHeight="1">
      <c r="A334" s="284"/>
      <c r="B334" s="406" t="s">
        <v>1955</v>
      </c>
      <c r="C334" s="530"/>
      <c r="D334" s="287"/>
      <c r="E334" s="13"/>
      <c r="F334" s="302">
        <f t="shared" si="9"/>
        <v>0</v>
      </c>
    </row>
    <row r="335" spans="1:6" s="278" customFormat="1" ht="51">
      <c r="A335" s="284"/>
      <c r="B335" s="406" t="s">
        <v>348</v>
      </c>
      <c r="C335" s="530"/>
      <c r="D335" s="287"/>
      <c r="E335" s="13"/>
      <c r="F335" s="302">
        <f t="shared" si="9"/>
        <v>0</v>
      </c>
    </row>
    <row r="336" spans="1:6" s="278" customFormat="1" ht="25.5">
      <c r="A336" s="284"/>
      <c r="B336" s="406" t="s">
        <v>135</v>
      </c>
      <c r="C336" s="530"/>
      <c r="D336" s="287"/>
      <c r="E336" s="13"/>
      <c r="F336" s="302">
        <f t="shared" si="9"/>
        <v>0</v>
      </c>
    </row>
    <row r="337" spans="1:6" s="278" customFormat="1">
      <c r="A337" s="284"/>
      <c r="B337" s="406" t="s">
        <v>245</v>
      </c>
      <c r="C337" s="530"/>
      <c r="D337" s="287"/>
      <c r="E337" s="13"/>
      <c r="F337" s="302">
        <f t="shared" si="9"/>
        <v>0</v>
      </c>
    </row>
    <row r="338" spans="1:6" s="278" customFormat="1">
      <c r="A338" s="284"/>
      <c r="B338" s="406" t="s">
        <v>350</v>
      </c>
      <c r="C338" s="530"/>
      <c r="D338" s="287"/>
      <c r="E338" s="13"/>
      <c r="F338" s="302">
        <f t="shared" si="9"/>
        <v>0</v>
      </c>
    </row>
    <row r="339" spans="1:6" s="278" customFormat="1">
      <c r="A339" s="284"/>
      <c r="B339" s="406" t="s">
        <v>173</v>
      </c>
      <c r="C339" s="539"/>
      <c r="D339" s="287"/>
      <c r="E339" s="45"/>
      <c r="F339" s="302">
        <f t="shared" si="9"/>
        <v>0</v>
      </c>
    </row>
    <row r="340" spans="1:6" s="278" customFormat="1">
      <c r="A340" s="284"/>
      <c r="B340" s="406" t="s">
        <v>344</v>
      </c>
      <c r="C340" s="539" t="s">
        <v>27</v>
      </c>
      <c r="D340" s="287">
        <f>36.4+67.4</f>
        <v>103.8</v>
      </c>
      <c r="E340" s="45"/>
      <c r="F340" s="302">
        <f t="shared" si="9"/>
        <v>0</v>
      </c>
    </row>
    <row r="341" spans="1:6" s="278" customFormat="1">
      <c r="A341" s="284"/>
      <c r="B341" s="406" t="s">
        <v>349</v>
      </c>
      <c r="C341" s="539" t="s">
        <v>27</v>
      </c>
      <c r="D341" s="287">
        <f>36.4+67.4</f>
        <v>103.8</v>
      </c>
      <c r="E341" s="45"/>
      <c r="F341" s="302">
        <f t="shared" si="9"/>
        <v>0</v>
      </c>
    </row>
    <row r="342" spans="1:6" s="278" customFormat="1">
      <c r="A342" s="284"/>
      <c r="B342" s="406" t="s">
        <v>345</v>
      </c>
      <c r="C342" s="539" t="s">
        <v>27</v>
      </c>
      <c r="D342" s="287">
        <f>36.4+67.4</f>
        <v>103.8</v>
      </c>
      <c r="E342" s="45"/>
      <c r="F342" s="302">
        <f t="shared" si="9"/>
        <v>0</v>
      </c>
    </row>
    <row r="343" spans="1:6" s="278" customFormat="1">
      <c r="A343" s="284"/>
      <c r="B343" s="406" t="s">
        <v>347</v>
      </c>
      <c r="C343" s="539" t="s">
        <v>26</v>
      </c>
      <c r="D343" s="287">
        <f>24.6+34.2</f>
        <v>58.8</v>
      </c>
      <c r="E343" s="45"/>
      <c r="F343" s="302">
        <f t="shared" si="9"/>
        <v>0</v>
      </c>
    </row>
    <row r="344" spans="1:6" s="278" customFormat="1">
      <c r="A344" s="284"/>
      <c r="B344" s="406"/>
      <c r="C344" s="539"/>
      <c r="D344" s="287"/>
      <c r="E344" s="45"/>
      <c r="F344" s="302">
        <f t="shared" si="9"/>
        <v>0</v>
      </c>
    </row>
    <row r="345" spans="1:6" s="278" customFormat="1">
      <c r="A345" s="557">
        <f>IF(B345&gt;0,MAX(A332:A344)+1,"")</f>
        <v>8</v>
      </c>
      <c r="B345" s="294" t="s">
        <v>354</v>
      </c>
      <c r="C345" s="530"/>
      <c r="D345" s="287"/>
      <c r="E345" s="13"/>
      <c r="F345" s="302">
        <f t="shared" si="9"/>
        <v>0</v>
      </c>
    </row>
    <row r="346" spans="1:6" s="278" customFormat="1" ht="153">
      <c r="A346" s="284"/>
      <c r="B346" s="406" t="s">
        <v>1955</v>
      </c>
      <c r="C346" s="530"/>
      <c r="D346" s="287"/>
      <c r="E346" s="13"/>
      <c r="F346" s="302">
        <f t="shared" si="9"/>
        <v>0</v>
      </c>
    </row>
    <row r="347" spans="1:6" s="278" customFormat="1" ht="51">
      <c r="A347" s="284"/>
      <c r="B347" s="406" t="s">
        <v>355</v>
      </c>
      <c r="C347" s="530"/>
      <c r="D347" s="287"/>
      <c r="E347" s="13"/>
      <c r="F347" s="302">
        <f t="shared" si="9"/>
        <v>0</v>
      </c>
    </row>
    <row r="348" spans="1:6" s="278" customFormat="1" ht="25.5">
      <c r="A348" s="284"/>
      <c r="B348" s="406" t="s">
        <v>135</v>
      </c>
      <c r="C348" s="530"/>
      <c r="D348" s="287"/>
      <c r="E348" s="13"/>
      <c r="F348" s="302">
        <f t="shared" si="9"/>
        <v>0</v>
      </c>
    </row>
    <row r="349" spans="1:6" s="278" customFormat="1">
      <c r="A349" s="284"/>
      <c r="B349" s="406" t="s">
        <v>245</v>
      </c>
      <c r="C349" s="530"/>
      <c r="D349" s="287"/>
      <c r="E349" s="13"/>
      <c r="F349" s="302">
        <f t="shared" si="9"/>
        <v>0</v>
      </c>
    </row>
    <row r="350" spans="1:6" s="278" customFormat="1">
      <c r="A350" s="284"/>
      <c r="B350" s="406" t="s">
        <v>356</v>
      </c>
      <c r="C350" s="530"/>
      <c r="D350" s="287"/>
      <c r="E350" s="13"/>
      <c r="F350" s="302">
        <f t="shared" si="9"/>
        <v>0</v>
      </c>
    </row>
    <row r="351" spans="1:6" s="278" customFormat="1">
      <c r="A351" s="284"/>
      <c r="B351" s="406" t="s">
        <v>173</v>
      </c>
      <c r="C351" s="539"/>
      <c r="D351" s="287"/>
      <c r="E351" s="45"/>
      <c r="F351" s="302">
        <f t="shared" si="9"/>
        <v>0</v>
      </c>
    </row>
    <row r="352" spans="1:6" s="278" customFormat="1">
      <c r="A352" s="284"/>
      <c r="B352" s="406" t="s">
        <v>344</v>
      </c>
      <c r="C352" s="539" t="s">
        <v>27</v>
      </c>
      <c r="D352" s="287">
        <f>13.3</f>
        <v>13.3</v>
      </c>
      <c r="E352" s="45"/>
      <c r="F352" s="302">
        <f t="shared" si="9"/>
        <v>0</v>
      </c>
    </row>
    <row r="353" spans="1:6" s="278" customFormat="1">
      <c r="A353" s="284"/>
      <c r="B353" s="406" t="s">
        <v>357</v>
      </c>
      <c r="C353" s="539" t="s">
        <v>27</v>
      </c>
      <c r="D353" s="287">
        <f>13.3</f>
        <v>13.3</v>
      </c>
      <c r="E353" s="45"/>
      <c r="F353" s="302">
        <f t="shared" ref="F353:F418" si="10">D353*E353</f>
        <v>0</v>
      </c>
    </row>
    <row r="354" spans="1:6" s="278" customFormat="1">
      <c r="A354" s="284"/>
      <c r="B354" s="406" t="s">
        <v>345</v>
      </c>
      <c r="C354" s="539" t="s">
        <v>27</v>
      </c>
      <c r="D354" s="287">
        <f>13.3</f>
        <v>13.3</v>
      </c>
      <c r="E354" s="45"/>
      <c r="F354" s="302">
        <f t="shared" si="10"/>
        <v>0</v>
      </c>
    </row>
    <row r="355" spans="1:6" s="278" customFormat="1">
      <c r="A355" s="284"/>
      <c r="B355" s="406" t="s">
        <v>347</v>
      </c>
      <c r="C355" s="539" t="s">
        <v>26</v>
      </c>
      <c r="D355" s="287">
        <v>19.3</v>
      </c>
      <c r="E355" s="45"/>
      <c r="F355" s="302">
        <f t="shared" si="10"/>
        <v>0</v>
      </c>
    </row>
    <row r="356" spans="1:6" s="278" customFormat="1">
      <c r="A356" s="284"/>
      <c r="B356" s="406"/>
      <c r="C356" s="539"/>
      <c r="D356" s="287"/>
      <c r="E356" s="45"/>
      <c r="F356" s="302">
        <f t="shared" si="10"/>
        <v>0</v>
      </c>
    </row>
    <row r="357" spans="1:6" s="278" customFormat="1">
      <c r="A357" s="557">
        <f>IF(B357&gt;0,MAX(A344:A356)+1,"")</f>
        <v>9</v>
      </c>
      <c r="B357" s="294" t="s">
        <v>359</v>
      </c>
      <c r="C357" s="530"/>
      <c r="D357" s="287"/>
      <c r="E357" s="13"/>
      <c r="F357" s="302">
        <f t="shared" si="10"/>
        <v>0</v>
      </c>
    </row>
    <row r="358" spans="1:6" s="278" customFormat="1" ht="153">
      <c r="A358" s="284"/>
      <c r="B358" s="406" t="s">
        <v>1955</v>
      </c>
      <c r="C358" s="530"/>
      <c r="D358" s="287"/>
      <c r="E358" s="13"/>
      <c r="F358" s="302">
        <f t="shared" si="10"/>
        <v>0</v>
      </c>
    </row>
    <row r="359" spans="1:6" s="278" customFormat="1" ht="51">
      <c r="A359" s="284"/>
      <c r="B359" s="406" t="s">
        <v>360</v>
      </c>
      <c r="C359" s="530"/>
      <c r="D359" s="287"/>
      <c r="E359" s="13"/>
      <c r="F359" s="302">
        <f t="shared" si="10"/>
        <v>0</v>
      </c>
    </row>
    <row r="360" spans="1:6" s="278" customFormat="1" ht="25.5">
      <c r="A360" s="284"/>
      <c r="B360" s="406" t="s">
        <v>135</v>
      </c>
      <c r="C360" s="530"/>
      <c r="D360" s="287"/>
      <c r="E360" s="13"/>
      <c r="F360" s="302">
        <f t="shared" si="10"/>
        <v>0</v>
      </c>
    </row>
    <row r="361" spans="1:6" s="278" customFormat="1">
      <c r="A361" s="284"/>
      <c r="B361" s="406" t="s">
        <v>245</v>
      </c>
      <c r="C361" s="530"/>
      <c r="D361" s="287"/>
      <c r="E361" s="13"/>
      <c r="F361" s="302">
        <f t="shared" si="10"/>
        <v>0</v>
      </c>
    </row>
    <row r="362" spans="1:6" s="278" customFormat="1">
      <c r="A362" s="284"/>
      <c r="B362" s="406" t="s">
        <v>211</v>
      </c>
      <c r="C362" s="530"/>
      <c r="D362" s="287"/>
      <c r="E362" s="13"/>
      <c r="F362" s="302">
        <f t="shared" si="10"/>
        <v>0</v>
      </c>
    </row>
    <row r="363" spans="1:6" s="278" customFormat="1">
      <c r="A363" s="284"/>
      <c r="B363" s="406" t="s">
        <v>173</v>
      </c>
      <c r="C363" s="539"/>
      <c r="D363" s="287"/>
      <c r="E363" s="45"/>
      <c r="F363" s="302">
        <f t="shared" si="10"/>
        <v>0</v>
      </c>
    </row>
    <row r="364" spans="1:6" s="278" customFormat="1">
      <c r="A364" s="284"/>
      <c r="B364" s="406" t="s">
        <v>361</v>
      </c>
      <c r="C364" s="539" t="s">
        <v>27</v>
      </c>
      <c r="D364" s="287">
        <f>237.6</f>
        <v>237.6</v>
      </c>
      <c r="E364" s="45"/>
      <c r="F364" s="302">
        <f t="shared" si="10"/>
        <v>0</v>
      </c>
    </row>
    <row r="365" spans="1:6" s="278" customFormat="1">
      <c r="A365" s="284"/>
      <c r="B365" s="406" t="s">
        <v>362</v>
      </c>
      <c r="C365" s="539" t="s">
        <v>27</v>
      </c>
      <c r="D365" s="287">
        <f>237.6</f>
        <v>237.6</v>
      </c>
      <c r="E365" s="45"/>
      <c r="F365" s="302">
        <f t="shared" si="10"/>
        <v>0</v>
      </c>
    </row>
    <row r="366" spans="1:6" s="278" customFormat="1">
      <c r="A366" s="284"/>
      <c r="B366" s="406" t="s">
        <v>345</v>
      </c>
      <c r="C366" s="539" t="s">
        <v>27</v>
      </c>
      <c r="D366" s="287">
        <f>237.6</f>
        <v>237.6</v>
      </c>
      <c r="E366" s="45"/>
      <c r="F366" s="302">
        <f t="shared" si="10"/>
        <v>0</v>
      </c>
    </row>
    <row r="367" spans="1:6" s="278" customFormat="1">
      <c r="A367" s="284"/>
      <c r="B367" s="406" t="s">
        <v>347</v>
      </c>
      <c r="C367" s="539" t="s">
        <v>26</v>
      </c>
      <c r="D367" s="287">
        <v>130.6</v>
      </c>
      <c r="E367" s="45"/>
      <c r="F367" s="302">
        <f t="shared" si="10"/>
        <v>0</v>
      </c>
    </row>
    <row r="368" spans="1:6" s="278" customFormat="1">
      <c r="A368" s="284"/>
      <c r="B368" s="406"/>
      <c r="C368" s="539"/>
      <c r="D368" s="287"/>
      <c r="E368" s="45"/>
      <c r="F368" s="302">
        <f t="shared" si="10"/>
        <v>0</v>
      </c>
    </row>
    <row r="369" spans="1:7" s="278" customFormat="1">
      <c r="A369" s="557">
        <f>IF(B369&gt;0,MAX(A356:A368)+1,"")</f>
        <v>10</v>
      </c>
      <c r="B369" s="294" t="s">
        <v>359</v>
      </c>
      <c r="C369" s="530"/>
      <c r="D369" s="287"/>
      <c r="E369" s="13"/>
      <c r="F369" s="302">
        <f t="shared" si="10"/>
        <v>0</v>
      </c>
    </row>
    <row r="370" spans="1:7" s="278" customFormat="1" ht="153">
      <c r="A370" s="284"/>
      <c r="B370" s="406" t="s">
        <v>1955</v>
      </c>
      <c r="C370" s="530"/>
      <c r="D370" s="287"/>
      <c r="E370" s="13"/>
      <c r="F370" s="302">
        <f t="shared" si="10"/>
        <v>0</v>
      </c>
    </row>
    <row r="371" spans="1:7" s="278" customFormat="1" ht="76.5">
      <c r="A371" s="284"/>
      <c r="B371" s="406" t="s">
        <v>367</v>
      </c>
      <c r="C371" s="530"/>
      <c r="D371" s="287"/>
      <c r="E371" s="13"/>
      <c r="F371" s="302">
        <f t="shared" si="10"/>
        <v>0</v>
      </c>
    </row>
    <row r="372" spans="1:7" s="278" customFormat="1" ht="25.5">
      <c r="A372" s="284"/>
      <c r="B372" s="406" t="s">
        <v>135</v>
      </c>
      <c r="C372" s="530"/>
      <c r="D372" s="287"/>
      <c r="E372" s="13"/>
      <c r="F372" s="302">
        <f t="shared" si="10"/>
        <v>0</v>
      </c>
    </row>
    <row r="373" spans="1:7" s="278" customFormat="1">
      <c r="A373" s="284"/>
      <c r="B373" s="406" t="s">
        <v>245</v>
      </c>
      <c r="C373" s="530"/>
      <c r="D373" s="287"/>
      <c r="E373" s="13"/>
      <c r="F373" s="302">
        <f t="shared" si="10"/>
        <v>0</v>
      </c>
    </row>
    <row r="374" spans="1:7" s="278" customFormat="1">
      <c r="A374" s="284"/>
      <c r="B374" s="406" t="s">
        <v>213</v>
      </c>
      <c r="C374" s="530"/>
      <c r="D374" s="287"/>
      <c r="E374" s="13"/>
      <c r="F374" s="302">
        <f t="shared" si="10"/>
        <v>0</v>
      </c>
    </row>
    <row r="375" spans="1:7" s="278" customFormat="1">
      <c r="A375" s="284"/>
      <c r="B375" s="406" t="s">
        <v>173</v>
      </c>
      <c r="C375" s="539"/>
      <c r="D375" s="287"/>
      <c r="E375" s="45"/>
      <c r="F375" s="302">
        <f t="shared" si="10"/>
        <v>0</v>
      </c>
    </row>
    <row r="376" spans="1:7" s="278" customFormat="1">
      <c r="A376" s="284"/>
      <c r="B376" s="406" t="s">
        <v>368</v>
      </c>
      <c r="C376" s="539" t="s">
        <v>27</v>
      </c>
      <c r="D376" s="287">
        <f>113.1</f>
        <v>113.1</v>
      </c>
      <c r="E376" s="45"/>
      <c r="F376" s="302">
        <f t="shared" si="10"/>
        <v>0</v>
      </c>
    </row>
    <row r="377" spans="1:7" s="278" customFormat="1">
      <c r="A377" s="284"/>
      <c r="B377" s="406" t="s">
        <v>369</v>
      </c>
      <c r="C377" s="539" t="s">
        <v>27</v>
      </c>
      <c r="D377" s="287">
        <f>113.1</f>
        <v>113.1</v>
      </c>
      <c r="E377" s="45"/>
      <c r="F377" s="302">
        <f t="shared" si="10"/>
        <v>0</v>
      </c>
    </row>
    <row r="378" spans="1:7" s="278" customFormat="1">
      <c r="A378" s="284"/>
      <c r="B378" s="406" t="s">
        <v>370</v>
      </c>
      <c r="C378" s="539" t="s">
        <v>27</v>
      </c>
      <c r="D378" s="287">
        <f>113.1</f>
        <v>113.1</v>
      </c>
      <c r="E378" s="45"/>
      <c r="F378" s="302">
        <f t="shared" si="10"/>
        <v>0</v>
      </c>
    </row>
    <row r="379" spans="1:7" s="278" customFormat="1">
      <c r="A379" s="284"/>
      <c r="B379" s="406" t="s">
        <v>371</v>
      </c>
      <c r="C379" s="539" t="s">
        <v>27</v>
      </c>
      <c r="D379" s="287">
        <f>113.1</f>
        <v>113.1</v>
      </c>
      <c r="E379" s="45"/>
      <c r="F379" s="302">
        <f t="shared" si="10"/>
        <v>0</v>
      </c>
    </row>
    <row r="380" spans="1:7" s="278" customFormat="1">
      <c r="A380" s="284"/>
      <c r="B380" s="406" t="s">
        <v>372</v>
      </c>
      <c r="C380" s="539" t="s">
        <v>26</v>
      </c>
      <c r="D380" s="287">
        <v>40.299999999999997</v>
      </c>
      <c r="E380" s="45"/>
      <c r="F380" s="302">
        <f t="shared" si="10"/>
        <v>0</v>
      </c>
    </row>
    <row r="381" spans="1:7" s="278" customFormat="1">
      <c r="A381" s="284"/>
      <c r="B381" s="406"/>
      <c r="C381" s="539"/>
      <c r="D381" s="287"/>
      <c r="E381" s="45"/>
      <c r="F381" s="302">
        <f t="shared" si="10"/>
        <v>0</v>
      </c>
    </row>
    <row r="382" spans="1:7" s="278" customFormat="1">
      <c r="A382" s="557">
        <f>IF(B382&gt;0,MAX(A369:A381)+1,"")</f>
        <v>11</v>
      </c>
      <c r="B382" s="294" t="s">
        <v>144</v>
      </c>
      <c r="C382" s="530"/>
      <c r="D382" s="287"/>
      <c r="E382" s="13"/>
      <c r="F382" s="302">
        <f t="shared" si="10"/>
        <v>0</v>
      </c>
    </row>
    <row r="383" spans="1:7" s="278" customFormat="1" ht="51">
      <c r="A383" s="284"/>
      <c r="B383" s="558" t="s">
        <v>1548</v>
      </c>
      <c r="C383" s="530"/>
      <c r="D383" s="287"/>
      <c r="E383" s="13"/>
      <c r="F383" s="302">
        <f t="shared" si="10"/>
        <v>0</v>
      </c>
      <c r="G383" s="308"/>
    </row>
    <row r="384" spans="1:7" s="278" customFormat="1" ht="25.9" customHeight="1">
      <c r="A384" s="284"/>
      <c r="B384" s="558" t="s">
        <v>175</v>
      </c>
      <c r="C384" s="530"/>
      <c r="D384" s="287"/>
      <c r="E384" s="13"/>
      <c r="F384" s="302">
        <f t="shared" si="10"/>
        <v>0</v>
      </c>
    </row>
    <row r="385" spans="1:6" s="278" customFormat="1">
      <c r="A385" s="284"/>
      <c r="B385" s="558" t="s">
        <v>143</v>
      </c>
      <c r="C385" s="539" t="s">
        <v>26</v>
      </c>
      <c r="D385" s="287">
        <v>49.1</v>
      </c>
      <c r="E385" s="45"/>
      <c r="F385" s="302">
        <f t="shared" si="10"/>
        <v>0</v>
      </c>
    </row>
    <row r="386" spans="1:6" s="278" customFormat="1">
      <c r="A386" s="284"/>
      <c r="B386" s="558"/>
      <c r="C386" s="539"/>
      <c r="D386" s="287"/>
      <c r="E386" s="45"/>
      <c r="F386" s="302">
        <f t="shared" si="10"/>
        <v>0</v>
      </c>
    </row>
    <row r="387" spans="1:6" s="278" customFormat="1">
      <c r="A387" s="284"/>
      <c r="B387" s="474" t="s">
        <v>1410</v>
      </c>
      <c r="C387" s="539"/>
      <c r="D387" s="287"/>
      <c r="E387" s="45"/>
      <c r="F387" s="302">
        <f t="shared" si="10"/>
        <v>0</v>
      </c>
    </row>
    <row r="388" spans="1:6" s="278" customFormat="1">
      <c r="A388" s="284"/>
      <c r="B388" s="474"/>
      <c r="C388" s="539"/>
      <c r="D388" s="287"/>
      <c r="E388" s="45"/>
      <c r="F388" s="302">
        <f t="shared" si="10"/>
        <v>0</v>
      </c>
    </row>
    <row r="389" spans="1:6" s="278" customFormat="1">
      <c r="A389" s="557">
        <f>IF(B389&gt;0,MAX(A382:A388)+1,"")</f>
        <v>12</v>
      </c>
      <c r="B389" s="474" t="s">
        <v>1411</v>
      </c>
      <c r="C389" s="539"/>
      <c r="D389" s="287"/>
      <c r="E389" s="45"/>
      <c r="F389" s="302">
        <f t="shared" si="10"/>
        <v>0</v>
      </c>
    </row>
    <row r="390" spans="1:6" s="278" customFormat="1" ht="25.5">
      <c r="A390" s="284"/>
      <c r="B390" s="406" t="s">
        <v>2051</v>
      </c>
      <c r="C390" s="539"/>
      <c r="D390" s="287"/>
      <c r="E390" s="45"/>
      <c r="F390" s="302">
        <f t="shared" si="10"/>
        <v>0</v>
      </c>
    </row>
    <row r="391" spans="1:6" s="278" customFormat="1" ht="70.5" customHeight="1">
      <c r="A391" s="284"/>
      <c r="B391" s="406" t="s">
        <v>1412</v>
      </c>
      <c r="C391" s="530"/>
      <c r="D391" s="287"/>
      <c r="E391" s="13"/>
      <c r="F391" s="302">
        <f t="shared" si="10"/>
        <v>0</v>
      </c>
    </row>
    <row r="392" spans="1:6" s="278" customFormat="1" ht="57.75" customHeight="1">
      <c r="A392" s="284"/>
      <c r="B392" s="406" t="s">
        <v>2052</v>
      </c>
      <c r="C392" s="530"/>
      <c r="D392" s="287"/>
      <c r="E392" s="13"/>
      <c r="F392" s="302">
        <f t="shared" si="10"/>
        <v>0</v>
      </c>
    </row>
    <row r="393" spans="1:6" s="278" customFormat="1" ht="25.5">
      <c r="A393" s="284"/>
      <c r="B393" s="406" t="s">
        <v>1413</v>
      </c>
      <c r="C393" s="539"/>
      <c r="D393" s="287"/>
      <c r="E393" s="45"/>
      <c r="F393" s="302">
        <f t="shared" si="10"/>
        <v>0</v>
      </c>
    </row>
    <row r="394" spans="1:6" s="278" customFormat="1" ht="25.5">
      <c r="A394" s="284"/>
      <c r="B394" s="406" t="s">
        <v>1414</v>
      </c>
      <c r="C394" s="539"/>
      <c r="D394" s="287"/>
      <c r="E394" s="45"/>
      <c r="F394" s="302">
        <f t="shared" si="10"/>
        <v>0</v>
      </c>
    </row>
    <row r="395" spans="1:6" s="278" customFormat="1" ht="38.25">
      <c r="A395" s="284"/>
      <c r="B395" s="406" t="s">
        <v>2186</v>
      </c>
      <c r="C395" s="539"/>
      <c r="D395" s="287"/>
      <c r="E395" s="45"/>
      <c r="F395" s="302"/>
    </row>
    <row r="396" spans="1:6" s="278" customFormat="1" ht="25.5">
      <c r="A396" s="284"/>
      <c r="B396" s="406" t="s">
        <v>1417</v>
      </c>
      <c r="C396" s="539"/>
      <c r="D396" s="287"/>
      <c r="E396" s="45"/>
      <c r="F396" s="302">
        <f t="shared" si="10"/>
        <v>0</v>
      </c>
    </row>
    <row r="397" spans="1:6" s="278" customFormat="1" ht="25.5">
      <c r="A397" s="284"/>
      <c r="B397" s="406" t="s">
        <v>1549</v>
      </c>
      <c r="C397" s="539"/>
      <c r="D397" s="287"/>
      <c r="E397" s="45"/>
      <c r="F397" s="302">
        <f t="shared" si="10"/>
        <v>0</v>
      </c>
    </row>
    <row r="398" spans="1:6" s="278" customFormat="1">
      <c r="A398" s="284"/>
      <c r="B398" s="406" t="s">
        <v>1418</v>
      </c>
      <c r="C398" s="539"/>
      <c r="D398" s="287"/>
      <c r="E398" s="45"/>
      <c r="F398" s="302">
        <f t="shared" si="10"/>
        <v>0</v>
      </c>
    </row>
    <row r="399" spans="1:6" s="278" customFormat="1">
      <c r="A399" s="284"/>
      <c r="B399" s="406" t="s">
        <v>234</v>
      </c>
      <c r="C399" s="539" t="s">
        <v>27</v>
      </c>
      <c r="D399" s="287">
        <f>253.8+166.6+115.7+7.6+30.5+37.5+56+30.9+54.9+59.4+25.8+50+7.3</f>
        <v>896</v>
      </c>
      <c r="E399" s="45"/>
      <c r="F399" s="302">
        <f t="shared" si="10"/>
        <v>0</v>
      </c>
    </row>
    <row r="400" spans="1:6" s="278" customFormat="1">
      <c r="A400" s="284"/>
      <c r="B400" s="406" t="s">
        <v>235</v>
      </c>
      <c r="C400" s="539" t="s">
        <v>27</v>
      </c>
      <c r="D400" s="287">
        <f>253.8+166.6+115.7+7.6+30.5+37.5</f>
        <v>611.70000000000005</v>
      </c>
      <c r="E400" s="45"/>
      <c r="F400" s="302">
        <f t="shared" si="10"/>
        <v>0</v>
      </c>
    </row>
    <row r="401" spans="1:6" s="278" customFormat="1">
      <c r="A401" s="284"/>
      <c r="B401" s="406" t="s">
        <v>1415</v>
      </c>
      <c r="C401" s="539" t="s">
        <v>26</v>
      </c>
      <c r="D401" s="287">
        <f>230.7+141.1+83.6+27.9+33.2+76.7+47.2+39.8+66.6+24+48.9+9.9</f>
        <v>829.6</v>
      </c>
      <c r="E401" s="45"/>
      <c r="F401" s="302">
        <f t="shared" si="10"/>
        <v>0</v>
      </c>
    </row>
    <row r="402" spans="1:6" s="278" customFormat="1">
      <c r="A402" s="284"/>
      <c r="B402" s="406" t="s">
        <v>1416</v>
      </c>
      <c r="C402" s="539" t="s">
        <v>26</v>
      </c>
      <c r="D402" s="287">
        <f>230.7+141.1+83.6+27.9+33.2</f>
        <v>516.5</v>
      </c>
      <c r="E402" s="45"/>
      <c r="F402" s="302">
        <f t="shared" si="10"/>
        <v>0</v>
      </c>
    </row>
    <row r="403" spans="1:6" s="278" customFormat="1">
      <c r="A403" s="284"/>
      <c r="B403" s="406" t="s">
        <v>2187</v>
      </c>
      <c r="C403" s="539" t="s">
        <v>26</v>
      </c>
      <c r="D403" s="287">
        <f>230.7+141.1+83.6+27.9+33.2</f>
        <v>516.5</v>
      </c>
      <c r="E403" s="45"/>
      <c r="F403" s="302">
        <f t="shared" ref="F403" si="11">D403*E403</f>
        <v>0</v>
      </c>
    </row>
    <row r="404" spans="1:6" s="278" customFormat="1">
      <c r="A404" s="284"/>
      <c r="B404" s="474"/>
      <c r="C404" s="539"/>
      <c r="D404" s="287"/>
      <c r="E404" s="45"/>
      <c r="F404" s="302">
        <f t="shared" si="10"/>
        <v>0</v>
      </c>
    </row>
    <row r="405" spans="1:6" s="278" customFormat="1">
      <c r="A405" s="557">
        <f>IF(B405&gt;0,MAX(A388:A404)+1,"")</f>
        <v>13</v>
      </c>
      <c r="B405" s="474" t="s">
        <v>2074</v>
      </c>
      <c r="C405" s="539"/>
      <c r="D405" s="287"/>
      <c r="E405" s="45"/>
      <c r="F405" s="302">
        <f t="shared" si="10"/>
        <v>0</v>
      </c>
    </row>
    <row r="406" spans="1:6" s="278" customFormat="1" ht="25.5">
      <c r="A406" s="284"/>
      <c r="B406" s="406" t="s">
        <v>2075</v>
      </c>
      <c r="C406" s="539"/>
      <c r="D406" s="287"/>
      <c r="E406" s="45"/>
      <c r="F406" s="302">
        <f t="shared" si="10"/>
        <v>0</v>
      </c>
    </row>
    <row r="407" spans="1:6" s="278" customFormat="1" ht="70.5" customHeight="1">
      <c r="A407" s="284"/>
      <c r="B407" s="406" t="s">
        <v>1412</v>
      </c>
      <c r="C407" s="530"/>
      <c r="D407" s="287"/>
      <c r="E407" s="13"/>
      <c r="F407" s="302">
        <f t="shared" si="10"/>
        <v>0</v>
      </c>
    </row>
    <row r="408" spans="1:6" s="278" customFormat="1" ht="57.75" customHeight="1">
      <c r="A408" s="284"/>
      <c r="B408" s="406" t="s">
        <v>2052</v>
      </c>
      <c r="C408" s="530"/>
      <c r="D408" s="287"/>
      <c r="E408" s="13"/>
      <c r="F408" s="302">
        <f t="shared" si="10"/>
        <v>0</v>
      </c>
    </row>
    <row r="409" spans="1:6" s="278" customFormat="1" ht="25.5">
      <c r="A409" s="284"/>
      <c r="B409" s="406" t="s">
        <v>1413</v>
      </c>
      <c r="C409" s="539"/>
      <c r="D409" s="287"/>
      <c r="E409" s="45"/>
      <c r="F409" s="302">
        <f t="shared" si="10"/>
        <v>0</v>
      </c>
    </row>
    <row r="410" spans="1:6" s="278" customFormat="1" ht="25.5">
      <c r="A410" s="284"/>
      <c r="B410" s="406" t="s">
        <v>2191</v>
      </c>
      <c r="C410" s="539"/>
      <c r="D410" s="287"/>
      <c r="E410" s="45"/>
      <c r="F410" s="302">
        <f t="shared" si="10"/>
        <v>0</v>
      </c>
    </row>
    <row r="411" spans="1:6" s="278" customFormat="1" ht="29.25" customHeight="1">
      <c r="A411" s="284"/>
      <c r="B411" s="406" t="s">
        <v>2076</v>
      </c>
      <c r="C411" s="539"/>
      <c r="D411" s="287"/>
      <c r="E411" s="45"/>
      <c r="F411" s="302">
        <f t="shared" si="10"/>
        <v>0</v>
      </c>
    </row>
    <row r="412" spans="1:6" s="278" customFormat="1">
      <c r="A412" s="284"/>
      <c r="B412" s="406" t="s">
        <v>181</v>
      </c>
      <c r="C412" s="539" t="s">
        <v>27</v>
      </c>
      <c r="D412" s="287">
        <v>9</v>
      </c>
      <c r="E412" s="45"/>
      <c r="F412" s="302">
        <f t="shared" si="10"/>
        <v>0</v>
      </c>
    </row>
    <row r="413" spans="1:6" s="278" customFormat="1">
      <c r="A413" s="284"/>
      <c r="B413" s="406" t="s">
        <v>182</v>
      </c>
      <c r="C413" s="539"/>
      <c r="D413" s="287"/>
      <c r="E413" s="45"/>
      <c r="F413" s="302">
        <f t="shared" si="10"/>
        <v>0</v>
      </c>
    </row>
    <row r="414" spans="1:6" s="278" customFormat="1">
      <c r="A414" s="284"/>
      <c r="B414" s="406" t="s">
        <v>2078</v>
      </c>
      <c r="C414" s="539" t="s">
        <v>34</v>
      </c>
      <c r="D414" s="287">
        <v>21</v>
      </c>
      <c r="E414" s="45"/>
      <c r="F414" s="302">
        <f t="shared" si="10"/>
        <v>0</v>
      </c>
    </row>
    <row r="415" spans="1:6" s="278" customFormat="1">
      <c r="A415" s="284"/>
      <c r="B415" s="406" t="s">
        <v>2077</v>
      </c>
      <c r="C415" s="539" t="s">
        <v>34</v>
      </c>
      <c r="D415" s="287">
        <v>24</v>
      </c>
      <c r="E415" s="45"/>
      <c r="F415" s="302">
        <f t="shared" si="10"/>
        <v>0</v>
      </c>
    </row>
    <row r="416" spans="1:6" s="278" customFormat="1">
      <c r="A416" s="284"/>
      <c r="B416" s="406" t="s">
        <v>2079</v>
      </c>
      <c r="C416" s="539" t="s">
        <v>34</v>
      </c>
      <c r="D416" s="287">
        <v>23</v>
      </c>
      <c r="E416" s="45"/>
      <c r="F416" s="302">
        <f t="shared" si="10"/>
        <v>0</v>
      </c>
    </row>
    <row r="417" spans="1:6" s="278" customFormat="1">
      <c r="A417" s="284"/>
      <c r="B417" s="406" t="s">
        <v>183</v>
      </c>
      <c r="C417" s="539"/>
      <c r="D417" s="287"/>
      <c r="E417" s="45"/>
      <c r="F417" s="302">
        <f t="shared" si="10"/>
        <v>0</v>
      </c>
    </row>
    <row r="418" spans="1:6" s="278" customFormat="1">
      <c r="A418" s="284"/>
      <c r="B418" s="406" t="s">
        <v>2080</v>
      </c>
      <c r="C418" s="539" t="s">
        <v>34</v>
      </c>
      <c r="D418" s="287">
        <v>59</v>
      </c>
      <c r="E418" s="45"/>
      <c r="F418" s="302">
        <f t="shared" si="10"/>
        <v>0</v>
      </c>
    </row>
    <row r="419" spans="1:6" s="278" customFormat="1">
      <c r="A419" s="284"/>
      <c r="B419" s="406" t="s">
        <v>1416</v>
      </c>
      <c r="C419" s="539" t="s">
        <v>26</v>
      </c>
      <c r="D419" s="287">
        <v>35</v>
      </c>
      <c r="E419" s="45"/>
      <c r="F419" s="302">
        <f t="shared" ref="F419:F453" si="12">D419*E419</f>
        <v>0</v>
      </c>
    </row>
    <row r="420" spans="1:6" s="278" customFormat="1">
      <c r="A420" s="284"/>
      <c r="B420" s="474"/>
      <c r="C420" s="539"/>
      <c r="D420" s="287"/>
      <c r="E420" s="45"/>
      <c r="F420" s="302">
        <f t="shared" si="12"/>
        <v>0</v>
      </c>
    </row>
    <row r="421" spans="1:6" s="278" customFormat="1" ht="30">
      <c r="A421" s="557">
        <f>IF(B421&gt;0,MAX(A401:A420)+1,"")</f>
        <v>14</v>
      </c>
      <c r="B421" s="474" t="s">
        <v>2081</v>
      </c>
      <c r="C421" s="539"/>
      <c r="D421" s="287"/>
      <c r="E421" s="45"/>
      <c r="F421" s="302">
        <f t="shared" si="12"/>
        <v>0</v>
      </c>
    </row>
    <row r="422" spans="1:6" s="278" customFormat="1" ht="25.5">
      <c r="A422" s="284"/>
      <c r="B422" s="406" t="s">
        <v>2082</v>
      </c>
      <c r="C422" s="539"/>
      <c r="D422" s="287"/>
      <c r="E422" s="45"/>
      <c r="F422" s="302">
        <f t="shared" si="12"/>
        <v>0</v>
      </c>
    </row>
    <row r="423" spans="1:6" s="278" customFormat="1" ht="25.5">
      <c r="A423" s="284"/>
      <c r="B423" s="406" t="s">
        <v>2083</v>
      </c>
      <c r="C423" s="530"/>
      <c r="D423" s="287"/>
      <c r="E423" s="13"/>
      <c r="F423" s="302">
        <f t="shared" si="12"/>
        <v>0</v>
      </c>
    </row>
    <row r="424" spans="1:6" s="278" customFormat="1">
      <c r="A424" s="284"/>
      <c r="B424" s="406" t="s">
        <v>2084</v>
      </c>
      <c r="C424" s="539"/>
      <c r="D424" s="287"/>
      <c r="E424" s="45"/>
      <c r="F424" s="302">
        <f t="shared" si="12"/>
        <v>0</v>
      </c>
    </row>
    <row r="425" spans="1:6" s="278" customFormat="1">
      <c r="A425" s="284"/>
      <c r="B425" s="406" t="s">
        <v>181</v>
      </c>
      <c r="C425" s="539" t="s">
        <v>27</v>
      </c>
      <c r="D425" s="287">
        <v>7.6</v>
      </c>
      <c r="E425" s="45"/>
      <c r="F425" s="302">
        <f t="shared" si="12"/>
        <v>0</v>
      </c>
    </row>
    <row r="426" spans="1:6" s="278" customFormat="1">
      <c r="A426" s="284"/>
      <c r="B426" s="406" t="s">
        <v>182</v>
      </c>
      <c r="C426" s="539"/>
      <c r="D426" s="287"/>
      <c r="E426" s="45"/>
      <c r="F426" s="302">
        <f t="shared" si="12"/>
        <v>0</v>
      </c>
    </row>
    <row r="427" spans="1:6" s="278" customFormat="1">
      <c r="A427" s="284"/>
      <c r="B427" s="406" t="s">
        <v>2085</v>
      </c>
      <c r="C427" s="539" t="s">
        <v>34</v>
      </c>
      <c r="D427" s="287">
        <v>8</v>
      </c>
      <c r="E427" s="45"/>
      <c r="F427" s="302">
        <f t="shared" si="12"/>
        <v>0</v>
      </c>
    </row>
    <row r="428" spans="1:6" s="278" customFormat="1">
      <c r="A428" s="284"/>
      <c r="B428" s="406" t="s">
        <v>2086</v>
      </c>
      <c r="C428" s="539" t="s">
        <v>34</v>
      </c>
      <c r="D428" s="287">
        <v>13</v>
      </c>
      <c r="E428" s="45"/>
      <c r="F428" s="302">
        <f t="shared" si="12"/>
        <v>0</v>
      </c>
    </row>
    <row r="429" spans="1:6" s="278" customFormat="1">
      <c r="A429" s="284"/>
      <c r="B429" s="406" t="s">
        <v>183</v>
      </c>
      <c r="C429" s="539"/>
      <c r="D429" s="287"/>
      <c r="E429" s="45"/>
      <c r="F429" s="302">
        <f t="shared" si="12"/>
        <v>0</v>
      </c>
    </row>
    <row r="430" spans="1:6" s="278" customFormat="1">
      <c r="A430" s="284"/>
      <c r="B430" s="406" t="s">
        <v>2087</v>
      </c>
      <c r="C430" s="539" t="s">
        <v>34</v>
      </c>
      <c r="D430" s="287">
        <v>12</v>
      </c>
      <c r="E430" s="45"/>
      <c r="F430" s="302">
        <f t="shared" si="12"/>
        <v>0</v>
      </c>
    </row>
    <row r="431" spans="1:6" s="278" customFormat="1">
      <c r="A431" s="284"/>
      <c r="B431" s="406" t="s">
        <v>2088</v>
      </c>
      <c r="C431" s="539" t="s">
        <v>34</v>
      </c>
      <c r="D431" s="287">
        <v>7</v>
      </c>
      <c r="E431" s="45"/>
      <c r="F431" s="302">
        <f t="shared" si="12"/>
        <v>0</v>
      </c>
    </row>
    <row r="432" spans="1:6" s="278" customFormat="1">
      <c r="A432" s="284"/>
      <c r="B432" s="474"/>
      <c r="C432" s="539"/>
      <c r="D432" s="287"/>
      <c r="E432" s="45"/>
      <c r="F432" s="302">
        <f t="shared" si="12"/>
        <v>0</v>
      </c>
    </row>
    <row r="433" spans="1:6" s="278" customFormat="1">
      <c r="A433" s="557">
        <f>IF(B433&gt;0,MAX(A414:A432)+1,"")</f>
        <v>15</v>
      </c>
      <c r="B433" s="474" t="s">
        <v>2089</v>
      </c>
      <c r="C433" s="539"/>
      <c r="D433" s="287"/>
      <c r="E433" s="45"/>
      <c r="F433" s="302">
        <f t="shared" si="12"/>
        <v>0</v>
      </c>
    </row>
    <row r="434" spans="1:6" s="278" customFormat="1" ht="25.5">
      <c r="A434" s="284"/>
      <c r="B434" s="406" t="s">
        <v>2082</v>
      </c>
      <c r="C434" s="539"/>
      <c r="D434" s="287"/>
      <c r="E434" s="45"/>
      <c r="F434" s="302">
        <f t="shared" si="12"/>
        <v>0</v>
      </c>
    </row>
    <row r="435" spans="1:6" s="278" customFormat="1" ht="25.5">
      <c r="A435" s="284"/>
      <c r="B435" s="406" t="s">
        <v>2083</v>
      </c>
      <c r="C435" s="530"/>
      <c r="D435" s="287"/>
      <c r="E435" s="13"/>
      <c r="F435" s="302">
        <f t="shared" si="12"/>
        <v>0</v>
      </c>
    </row>
    <row r="436" spans="1:6" s="278" customFormat="1">
      <c r="A436" s="284"/>
      <c r="B436" s="406" t="s">
        <v>2084</v>
      </c>
      <c r="C436" s="539"/>
      <c r="D436" s="287"/>
      <c r="E436" s="45"/>
      <c r="F436" s="302">
        <f t="shared" si="12"/>
        <v>0</v>
      </c>
    </row>
    <row r="437" spans="1:6" s="278" customFormat="1">
      <c r="A437" s="284"/>
      <c r="B437" s="406" t="s">
        <v>181</v>
      </c>
      <c r="C437" s="539" t="s">
        <v>27</v>
      </c>
      <c r="D437" s="287">
        <v>6.6</v>
      </c>
      <c r="E437" s="45"/>
      <c r="F437" s="302">
        <f t="shared" si="12"/>
        <v>0</v>
      </c>
    </row>
    <row r="438" spans="1:6" s="278" customFormat="1">
      <c r="A438" s="284"/>
      <c r="B438" s="406" t="s">
        <v>182</v>
      </c>
      <c r="C438" s="539"/>
      <c r="D438" s="287"/>
      <c r="E438" s="45"/>
      <c r="F438" s="302">
        <f t="shared" si="12"/>
        <v>0</v>
      </c>
    </row>
    <row r="439" spans="1:6" s="278" customFormat="1">
      <c r="A439" s="284"/>
      <c r="B439" s="406" t="s">
        <v>2090</v>
      </c>
      <c r="C439" s="539" t="s">
        <v>34</v>
      </c>
      <c r="D439" s="287">
        <v>38</v>
      </c>
      <c r="E439" s="45"/>
      <c r="F439" s="302">
        <f t="shared" si="12"/>
        <v>0</v>
      </c>
    </row>
    <row r="440" spans="1:6" s="278" customFormat="1">
      <c r="A440" s="284"/>
      <c r="B440" s="406" t="s">
        <v>2091</v>
      </c>
      <c r="C440" s="539" t="s">
        <v>34</v>
      </c>
      <c r="D440" s="287">
        <v>8</v>
      </c>
      <c r="E440" s="45"/>
      <c r="F440" s="302">
        <f t="shared" si="12"/>
        <v>0</v>
      </c>
    </row>
    <row r="441" spans="1:6" s="278" customFormat="1">
      <c r="A441" s="284"/>
      <c r="B441" s="406" t="s">
        <v>2092</v>
      </c>
      <c r="C441" s="539" t="s">
        <v>34</v>
      </c>
      <c r="D441" s="287">
        <v>10</v>
      </c>
      <c r="E441" s="45"/>
      <c r="F441" s="302">
        <f t="shared" si="12"/>
        <v>0</v>
      </c>
    </row>
    <row r="442" spans="1:6" s="278" customFormat="1">
      <c r="A442" s="284"/>
      <c r="B442" s="406" t="s">
        <v>183</v>
      </c>
      <c r="C442" s="539"/>
      <c r="D442" s="287"/>
      <c r="E442" s="45"/>
      <c r="F442" s="302">
        <f t="shared" si="12"/>
        <v>0</v>
      </c>
    </row>
    <row r="443" spans="1:6" s="278" customFormat="1">
      <c r="A443" s="284"/>
      <c r="B443" s="406" t="s">
        <v>2094</v>
      </c>
      <c r="C443" s="539" t="s">
        <v>34</v>
      </c>
      <c r="D443" s="287">
        <v>36</v>
      </c>
      <c r="E443" s="45"/>
      <c r="F443" s="302">
        <f t="shared" si="12"/>
        <v>0</v>
      </c>
    </row>
    <row r="444" spans="1:6" s="278" customFormat="1">
      <c r="A444" s="284"/>
      <c r="B444" s="406" t="s">
        <v>2093</v>
      </c>
      <c r="C444" s="539" t="s">
        <v>34</v>
      </c>
      <c r="D444" s="287">
        <v>14</v>
      </c>
      <c r="E444" s="45"/>
      <c r="F444" s="302">
        <f t="shared" si="12"/>
        <v>0</v>
      </c>
    </row>
    <row r="445" spans="1:6" s="278" customFormat="1">
      <c r="A445" s="284"/>
      <c r="B445" s="474"/>
      <c r="C445" s="539"/>
      <c r="D445" s="287"/>
      <c r="E445" s="45"/>
      <c r="F445" s="302">
        <f t="shared" si="12"/>
        <v>0</v>
      </c>
    </row>
    <row r="446" spans="1:6" s="278" customFormat="1">
      <c r="A446" s="284"/>
      <c r="B446" s="474" t="s">
        <v>2044</v>
      </c>
      <c r="C446" s="539"/>
      <c r="D446" s="287"/>
      <c r="E446" s="45"/>
      <c r="F446" s="302">
        <f t="shared" si="12"/>
        <v>0</v>
      </c>
    </row>
    <row r="447" spans="1:6" s="278" customFormat="1">
      <c r="A447" s="284"/>
      <c r="B447" s="554"/>
      <c r="C447" s="539"/>
      <c r="D447" s="287"/>
      <c r="E447" s="45"/>
      <c r="F447" s="302">
        <f t="shared" si="12"/>
        <v>0</v>
      </c>
    </row>
    <row r="448" spans="1:6" s="278" customFormat="1">
      <c r="A448" s="557">
        <f>IF(B448&gt;0,MAX(A429:A447)+1,"")</f>
        <v>16</v>
      </c>
      <c r="B448" s="474" t="s">
        <v>2045</v>
      </c>
      <c r="C448" s="539"/>
      <c r="D448" s="287"/>
      <c r="E448" s="45"/>
      <c r="F448" s="302">
        <f t="shared" si="12"/>
        <v>0</v>
      </c>
    </row>
    <row r="449" spans="1:6" s="278" customFormat="1" ht="25.5">
      <c r="A449" s="284"/>
      <c r="B449" s="406" t="s">
        <v>2046</v>
      </c>
      <c r="C449" s="539"/>
      <c r="D449" s="287"/>
      <c r="E449" s="45"/>
      <c r="F449" s="302">
        <f t="shared" si="12"/>
        <v>0</v>
      </c>
    </row>
    <row r="450" spans="1:6" s="278" customFormat="1" ht="51">
      <c r="A450" s="284"/>
      <c r="B450" s="406" t="s">
        <v>2047</v>
      </c>
      <c r="C450" s="530"/>
      <c r="D450" s="287"/>
      <c r="E450" s="13"/>
      <c r="F450" s="302">
        <f t="shared" si="12"/>
        <v>0</v>
      </c>
    </row>
    <row r="451" spans="1:6" s="278" customFormat="1">
      <c r="A451" s="284"/>
      <c r="B451" s="406" t="s">
        <v>28</v>
      </c>
      <c r="C451" s="539"/>
      <c r="D451" s="287"/>
      <c r="E451" s="45"/>
      <c r="F451" s="302">
        <f t="shared" si="12"/>
        <v>0</v>
      </c>
    </row>
    <row r="452" spans="1:6" s="278" customFormat="1">
      <c r="A452" s="284"/>
      <c r="B452" s="406" t="s">
        <v>2048</v>
      </c>
      <c r="C452" s="539" t="s">
        <v>27</v>
      </c>
      <c r="D452" s="287">
        <v>1.7</v>
      </c>
      <c r="E452" s="45"/>
      <c r="F452" s="302">
        <f t="shared" si="12"/>
        <v>0</v>
      </c>
    </row>
    <row r="453" spans="1:6" s="278" customFormat="1">
      <c r="A453" s="284"/>
      <c r="B453" s="406" t="s">
        <v>2049</v>
      </c>
      <c r="C453" s="539" t="s">
        <v>27</v>
      </c>
      <c r="D453" s="287">
        <v>1.7</v>
      </c>
      <c r="E453" s="45"/>
      <c r="F453" s="302">
        <f t="shared" si="12"/>
        <v>0</v>
      </c>
    </row>
    <row r="454" spans="1:6" s="278" customFormat="1">
      <c r="A454" s="284"/>
      <c r="B454" s="474"/>
      <c r="C454" s="539"/>
      <c r="D454" s="287"/>
      <c r="E454" s="45"/>
      <c r="F454" s="302">
        <f t="shared" ref="F454" si="13">D454*E454</f>
        <v>0</v>
      </c>
    </row>
    <row r="455" spans="1:6" s="278" customFormat="1">
      <c r="A455" s="289" t="s">
        <v>119</v>
      </c>
      <c r="B455" s="290" t="s">
        <v>118</v>
      </c>
      <c r="C455" s="534"/>
      <c r="D455" s="535"/>
      <c r="E455" s="654"/>
      <c r="F455" s="536">
        <f>SUM(F286:F453)</f>
        <v>0</v>
      </c>
    </row>
    <row r="456" spans="1:6" s="278" customFormat="1">
      <c r="A456" s="284"/>
      <c r="B456" s="294"/>
      <c r="C456" s="530"/>
      <c r="D456" s="287"/>
      <c r="E456" s="13"/>
      <c r="F456" s="288"/>
    </row>
    <row r="457" spans="1:6" s="278" customFormat="1">
      <c r="A457" s="289" t="s">
        <v>117</v>
      </c>
      <c r="B457" s="290" t="s">
        <v>142</v>
      </c>
      <c r="C457" s="534"/>
      <c r="D457" s="535"/>
      <c r="E457" s="654"/>
      <c r="F457" s="536"/>
    </row>
    <row r="458" spans="1:6" s="278" customFormat="1">
      <c r="A458" s="284"/>
      <c r="B458" s="294"/>
      <c r="C458" s="530"/>
      <c r="D458" s="287"/>
      <c r="E458" s="13"/>
      <c r="F458" s="288"/>
    </row>
    <row r="459" spans="1:6" s="278" customFormat="1">
      <c r="A459" s="284"/>
      <c r="B459" s="555" t="s">
        <v>177</v>
      </c>
      <c r="C459" s="530"/>
      <c r="D459" s="287"/>
      <c r="E459" s="13"/>
      <c r="F459" s="288"/>
    </row>
    <row r="460" spans="1:6" s="278" customFormat="1" ht="63.75">
      <c r="A460" s="284"/>
      <c r="B460" s="555" t="s">
        <v>176</v>
      </c>
      <c r="C460" s="530"/>
      <c r="D460" s="287"/>
      <c r="E460" s="13"/>
      <c r="F460" s="288"/>
    </row>
    <row r="461" spans="1:6" s="278" customFormat="1" ht="25.5">
      <c r="A461" s="284"/>
      <c r="B461" s="555" t="s">
        <v>500</v>
      </c>
      <c r="C461" s="530"/>
      <c r="D461" s="287"/>
      <c r="E461" s="13"/>
      <c r="F461" s="288"/>
    </row>
    <row r="462" spans="1:6" s="278" customFormat="1" ht="51">
      <c r="A462" s="284"/>
      <c r="B462" s="554" t="s">
        <v>1957</v>
      </c>
      <c r="C462" s="539"/>
      <c r="D462" s="287"/>
      <c r="E462" s="45"/>
      <c r="F462" s="302"/>
    </row>
    <row r="463" spans="1:6" s="278" customFormat="1">
      <c r="A463" s="284"/>
      <c r="B463" s="554" t="s">
        <v>1956</v>
      </c>
      <c r="C463" s="539"/>
      <c r="D463" s="287"/>
      <c r="E463" s="45"/>
      <c r="F463" s="302"/>
    </row>
    <row r="464" spans="1:6" s="278" customFormat="1">
      <c r="A464" s="284"/>
      <c r="B464" s="294"/>
      <c r="C464" s="530"/>
      <c r="D464" s="287"/>
      <c r="E464" s="13"/>
      <c r="F464" s="288"/>
    </row>
    <row r="465" spans="1:17" s="278" customFormat="1">
      <c r="A465" s="559">
        <v>1</v>
      </c>
      <c r="B465" s="294" t="s">
        <v>2054</v>
      </c>
      <c r="C465" s="530"/>
      <c r="D465" s="287"/>
      <c r="E465" s="13"/>
      <c r="F465" s="288"/>
      <c r="G465" s="308"/>
    </row>
    <row r="466" spans="1:17" s="278" customFormat="1" ht="38.25">
      <c r="A466" s="284"/>
      <c r="B466" s="406" t="s">
        <v>4578</v>
      </c>
      <c r="C466" s="530"/>
      <c r="D466" s="287"/>
      <c r="E466" s="13"/>
      <c r="F466" s="288"/>
      <c r="G466" s="308"/>
    </row>
    <row r="467" spans="1:17" s="278" customFormat="1" ht="148.5" customHeight="1">
      <c r="A467" s="284"/>
      <c r="B467" s="406" t="s">
        <v>2043</v>
      </c>
      <c r="C467" s="530"/>
      <c r="D467" s="287"/>
      <c r="E467" s="13"/>
      <c r="F467" s="288"/>
      <c r="G467" s="308"/>
    </row>
    <row r="468" spans="1:17" s="278" customFormat="1" ht="51">
      <c r="A468" s="284"/>
      <c r="B468" s="406" t="s">
        <v>141</v>
      </c>
      <c r="C468" s="530"/>
      <c r="D468" s="287"/>
      <c r="E468" s="13"/>
      <c r="F468" s="288"/>
      <c r="G468" s="324"/>
    </row>
    <row r="469" spans="1:17" s="278" customFormat="1" ht="97.5" customHeight="1">
      <c r="A469" s="284"/>
      <c r="B469" s="406" t="s">
        <v>2053</v>
      </c>
      <c r="C469" s="530"/>
      <c r="D469" s="287"/>
      <c r="E469" s="13"/>
      <c r="F469" s="288"/>
      <c r="G469" s="324"/>
      <c r="Q469" s="560"/>
    </row>
    <row r="470" spans="1:17" s="278" customFormat="1" ht="25.5">
      <c r="A470" s="284"/>
      <c r="B470" s="406" t="s">
        <v>135</v>
      </c>
      <c r="C470" s="530"/>
      <c r="D470" s="287"/>
      <c r="E470" s="13"/>
      <c r="F470" s="288"/>
      <c r="G470" s="308"/>
    </row>
    <row r="471" spans="1:17" s="278" customFormat="1">
      <c r="A471" s="284"/>
      <c r="B471" s="406" t="s">
        <v>140</v>
      </c>
      <c r="C471" s="530"/>
      <c r="D471" s="287"/>
      <c r="E471" s="13"/>
      <c r="F471" s="302">
        <f>E471*D471</f>
        <v>0</v>
      </c>
      <c r="G471" s="308"/>
    </row>
    <row r="472" spans="1:17" s="278" customFormat="1">
      <c r="A472" s="284"/>
      <c r="B472" s="406" t="s">
        <v>139</v>
      </c>
      <c r="C472" s="539"/>
      <c r="D472" s="287"/>
      <c r="E472" s="45"/>
      <c r="F472" s="302"/>
      <c r="G472" s="308"/>
    </row>
    <row r="473" spans="1:17" s="278" customFormat="1">
      <c r="A473" s="284"/>
      <c r="B473" s="406" t="s">
        <v>290</v>
      </c>
      <c r="C473" s="539" t="s">
        <v>27</v>
      </c>
      <c r="D473" s="287">
        <f>19.3</f>
        <v>19.3</v>
      </c>
      <c r="E473" s="45"/>
      <c r="F473" s="302">
        <f>E473*D473</f>
        <v>0</v>
      </c>
    </row>
    <row r="474" spans="1:17" s="278" customFormat="1">
      <c r="A474" s="284"/>
      <c r="B474" s="406" t="s">
        <v>1526</v>
      </c>
      <c r="C474" s="539" t="s">
        <v>26</v>
      </c>
      <c r="D474" s="287">
        <v>27.2</v>
      </c>
      <c r="E474" s="45"/>
      <c r="F474" s="302">
        <f t="shared" ref="F474:F537" si="14">E474*D474</f>
        <v>0</v>
      </c>
    </row>
    <row r="475" spans="1:17" s="278" customFormat="1" ht="38.25">
      <c r="A475" s="284"/>
      <c r="B475" s="406" t="s">
        <v>2055</v>
      </c>
      <c r="C475" s="539" t="s">
        <v>27</v>
      </c>
      <c r="D475" s="287">
        <v>17</v>
      </c>
      <c r="E475" s="45"/>
      <c r="F475" s="302">
        <f t="shared" si="14"/>
        <v>0</v>
      </c>
    </row>
    <row r="476" spans="1:17" s="278" customFormat="1">
      <c r="A476" s="284"/>
      <c r="B476" s="406" t="s">
        <v>2056</v>
      </c>
      <c r="C476" s="539" t="s">
        <v>27</v>
      </c>
      <c r="D476" s="287">
        <f>17+11.7</f>
        <v>28.7</v>
      </c>
      <c r="E476" s="45"/>
      <c r="F476" s="302">
        <f t="shared" si="14"/>
        <v>0</v>
      </c>
    </row>
    <row r="477" spans="1:17" s="278" customFormat="1">
      <c r="A477" s="284"/>
      <c r="B477" s="406" t="s">
        <v>2057</v>
      </c>
      <c r="C477" s="539" t="s">
        <v>26</v>
      </c>
      <c r="D477" s="287">
        <v>4</v>
      </c>
      <c r="E477" s="45"/>
      <c r="F477" s="302">
        <f t="shared" si="14"/>
        <v>0</v>
      </c>
    </row>
    <row r="478" spans="1:17" s="278" customFormat="1" ht="38.25">
      <c r="A478" s="284"/>
      <c r="B478" s="406" t="s">
        <v>2058</v>
      </c>
      <c r="C478" s="539" t="s">
        <v>27</v>
      </c>
      <c r="D478" s="287">
        <f>7.7+11.6</f>
        <v>19.3</v>
      </c>
      <c r="E478" s="45"/>
      <c r="F478" s="302">
        <f t="shared" si="14"/>
        <v>0</v>
      </c>
    </row>
    <row r="479" spans="1:17" s="278" customFormat="1" ht="38.25">
      <c r="A479" s="284"/>
      <c r="B479" s="406" t="s">
        <v>2059</v>
      </c>
      <c r="C479" s="539" t="s">
        <v>27</v>
      </c>
      <c r="D479" s="287">
        <f>19.9</f>
        <v>19.899999999999999</v>
      </c>
      <c r="E479" s="45"/>
      <c r="F479" s="302">
        <f t="shared" si="14"/>
        <v>0</v>
      </c>
    </row>
    <row r="480" spans="1:17" s="278" customFormat="1" ht="38.25">
      <c r="A480" s="284"/>
      <c r="B480" s="406" t="s">
        <v>2060</v>
      </c>
      <c r="C480" s="539" t="s">
        <v>27</v>
      </c>
      <c r="D480" s="287">
        <v>14.6</v>
      </c>
      <c r="E480" s="45"/>
      <c r="F480" s="302">
        <f t="shared" si="14"/>
        <v>0</v>
      </c>
    </row>
    <row r="481" spans="1:6">
      <c r="A481" s="540"/>
      <c r="B481" s="406" t="s">
        <v>2061</v>
      </c>
      <c r="C481" s="539" t="s">
        <v>27</v>
      </c>
      <c r="D481" s="287">
        <v>9.6</v>
      </c>
      <c r="F481" s="302">
        <f t="shared" si="14"/>
        <v>0</v>
      </c>
    </row>
    <row r="482" spans="1:6">
      <c r="A482" s="540"/>
      <c r="B482" s="406" t="s">
        <v>2062</v>
      </c>
      <c r="C482" s="539" t="s">
        <v>26</v>
      </c>
      <c r="D482" s="287">
        <v>12.1</v>
      </c>
      <c r="F482" s="302">
        <f t="shared" si="14"/>
        <v>0</v>
      </c>
    </row>
    <row r="483" spans="1:6">
      <c r="A483" s="540"/>
      <c r="B483" s="483"/>
      <c r="C483" s="544"/>
      <c r="D483" s="543"/>
      <c r="F483" s="302">
        <f t="shared" si="14"/>
        <v>0</v>
      </c>
    </row>
    <row r="484" spans="1:6" s="278" customFormat="1">
      <c r="A484" s="559">
        <f>IF(B484&gt;0,MAX(A464:A483)+1,"")</f>
        <v>2</v>
      </c>
      <c r="B484" s="294" t="s">
        <v>138</v>
      </c>
      <c r="C484" s="530"/>
      <c r="D484" s="287"/>
      <c r="E484" s="13"/>
      <c r="F484" s="302">
        <f t="shared" si="14"/>
        <v>0</v>
      </c>
    </row>
    <row r="485" spans="1:6" s="278" customFormat="1" ht="144" customHeight="1">
      <c r="A485" s="284"/>
      <c r="B485" s="406" t="s">
        <v>5509</v>
      </c>
      <c r="C485" s="530"/>
      <c r="D485" s="287"/>
      <c r="E485" s="13"/>
      <c r="F485" s="302">
        <f t="shared" si="14"/>
        <v>0</v>
      </c>
    </row>
    <row r="486" spans="1:6" s="278" customFormat="1">
      <c r="A486" s="284"/>
      <c r="B486" s="406" t="s">
        <v>559</v>
      </c>
      <c r="C486" s="530"/>
      <c r="D486" s="287"/>
      <c r="E486" s="13"/>
      <c r="F486" s="302">
        <f t="shared" si="14"/>
        <v>0</v>
      </c>
    </row>
    <row r="487" spans="1:6" s="278" customFormat="1" ht="89.25">
      <c r="A487" s="284"/>
      <c r="B487" s="406" t="s">
        <v>919</v>
      </c>
      <c r="C487" s="530"/>
      <c r="D487" s="287"/>
      <c r="E487" s="13"/>
      <c r="F487" s="302">
        <f t="shared" si="14"/>
        <v>0</v>
      </c>
    </row>
    <row r="488" spans="1:6" s="278" customFormat="1" ht="25.5">
      <c r="A488" s="284"/>
      <c r="B488" s="406" t="s">
        <v>504</v>
      </c>
      <c r="C488" s="530"/>
      <c r="D488" s="287"/>
      <c r="E488" s="13"/>
      <c r="F488" s="302">
        <f t="shared" si="14"/>
        <v>0</v>
      </c>
    </row>
    <row r="489" spans="1:6" s="278" customFormat="1" ht="51">
      <c r="A489" s="284"/>
      <c r="B489" s="406" t="s">
        <v>229</v>
      </c>
      <c r="C489" s="530"/>
      <c r="D489" s="287"/>
      <c r="E489" s="13"/>
      <c r="F489" s="302">
        <f t="shared" si="14"/>
        <v>0</v>
      </c>
    </row>
    <row r="490" spans="1:6" s="278" customFormat="1" ht="25.5">
      <c r="A490" s="284"/>
      <c r="B490" s="406" t="s">
        <v>135</v>
      </c>
      <c r="C490" s="530"/>
      <c r="D490" s="287"/>
      <c r="E490" s="13"/>
      <c r="F490" s="302">
        <f t="shared" si="14"/>
        <v>0</v>
      </c>
    </row>
    <row r="491" spans="1:6" s="278" customFormat="1" ht="25.5">
      <c r="A491" s="284"/>
      <c r="B491" s="406" t="s">
        <v>513</v>
      </c>
      <c r="C491" s="530"/>
      <c r="D491" s="287"/>
      <c r="E491" s="13"/>
      <c r="F491" s="302">
        <f t="shared" si="14"/>
        <v>0</v>
      </c>
    </row>
    <row r="492" spans="1:6" s="278" customFormat="1">
      <c r="A492" s="284"/>
      <c r="B492" s="406" t="s">
        <v>501</v>
      </c>
      <c r="C492" s="539"/>
      <c r="D492" s="287"/>
      <c r="E492" s="45"/>
      <c r="F492" s="302">
        <f t="shared" si="14"/>
        <v>0</v>
      </c>
    </row>
    <row r="493" spans="1:6" s="278" customFormat="1">
      <c r="A493" s="284"/>
      <c r="B493" s="406" t="s">
        <v>209</v>
      </c>
      <c r="C493" s="539" t="s">
        <v>27</v>
      </c>
      <c r="D493" s="287">
        <f>57.2+71.1+56+45</f>
        <v>229.3</v>
      </c>
      <c r="E493" s="45"/>
      <c r="F493" s="302">
        <f t="shared" si="14"/>
        <v>0</v>
      </c>
    </row>
    <row r="494" spans="1:6" s="278" customFormat="1">
      <c r="A494" s="284"/>
      <c r="B494" s="406" t="s">
        <v>502</v>
      </c>
      <c r="C494" s="539" t="s">
        <v>27</v>
      </c>
      <c r="D494" s="287">
        <f>0.3+1.2+1.2</f>
        <v>2.7</v>
      </c>
      <c r="E494" s="45"/>
      <c r="F494" s="302">
        <f t="shared" si="14"/>
        <v>0</v>
      </c>
    </row>
    <row r="495" spans="1:6" s="278" customFormat="1">
      <c r="A495" s="284"/>
      <c r="B495" s="406" t="s">
        <v>503</v>
      </c>
      <c r="C495" s="539"/>
      <c r="D495" s="287"/>
      <c r="E495" s="45"/>
      <c r="F495" s="302">
        <f t="shared" si="14"/>
        <v>0</v>
      </c>
    </row>
    <row r="496" spans="1:6" s="278" customFormat="1">
      <c r="A496" s="284"/>
      <c r="B496" s="406" t="s">
        <v>511</v>
      </c>
      <c r="C496" s="539" t="s">
        <v>26</v>
      </c>
      <c r="D496" s="287">
        <v>1.3</v>
      </c>
      <c r="E496" s="45"/>
      <c r="F496" s="302">
        <f t="shared" si="14"/>
        <v>0</v>
      </c>
    </row>
    <row r="497" spans="1:6" s="278" customFormat="1">
      <c r="A497" s="284"/>
      <c r="B497" s="406" t="s">
        <v>505</v>
      </c>
      <c r="C497" s="539" t="s">
        <v>26</v>
      </c>
      <c r="D497" s="287">
        <f>9.4+1.3</f>
        <v>10.7</v>
      </c>
      <c r="E497" s="45"/>
      <c r="F497" s="302">
        <f t="shared" si="14"/>
        <v>0</v>
      </c>
    </row>
    <row r="498" spans="1:6" s="278" customFormat="1">
      <c r="A498" s="284"/>
      <c r="B498" s="406" t="s">
        <v>506</v>
      </c>
      <c r="C498" s="539" t="s">
        <v>26</v>
      </c>
      <c r="D498" s="287">
        <f>1.3</f>
        <v>1.3</v>
      </c>
      <c r="E498" s="45"/>
      <c r="F498" s="302">
        <f t="shared" si="14"/>
        <v>0</v>
      </c>
    </row>
    <row r="499" spans="1:6" s="278" customFormat="1">
      <c r="A499" s="284"/>
      <c r="B499" s="406" t="s">
        <v>509</v>
      </c>
      <c r="C499" s="539" t="s">
        <v>26</v>
      </c>
      <c r="D499" s="287">
        <f>1.1+4.2+8.2</f>
        <v>13.5</v>
      </c>
      <c r="E499" s="45"/>
      <c r="F499" s="302">
        <f t="shared" si="14"/>
        <v>0</v>
      </c>
    </row>
    <row r="500" spans="1:6" s="278" customFormat="1">
      <c r="A500" s="284"/>
      <c r="B500" s="406" t="s">
        <v>507</v>
      </c>
      <c r="C500" s="539" t="s">
        <v>26</v>
      </c>
      <c r="D500" s="287">
        <f>1.3+1.2</f>
        <v>2.5</v>
      </c>
      <c r="E500" s="45"/>
      <c r="F500" s="302">
        <f t="shared" si="14"/>
        <v>0</v>
      </c>
    </row>
    <row r="501" spans="1:6" s="278" customFormat="1">
      <c r="A501" s="284"/>
      <c r="B501" s="406" t="s">
        <v>510</v>
      </c>
      <c r="C501" s="539" t="s">
        <v>26</v>
      </c>
      <c r="D501" s="287">
        <f>2.1</f>
        <v>2.1</v>
      </c>
      <c r="E501" s="45"/>
      <c r="F501" s="302">
        <f t="shared" si="14"/>
        <v>0</v>
      </c>
    </row>
    <row r="502" spans="1:6" s="278" customFormat="1">
      <c r="A502" s="284"/>
      <c r="B502" s="406" t="s">
        <v>508</v>
      </c>
      <c r="C502" s="539" t="s">
        <v>26</v>
      </c>
      <c r="D502" s="287">
        <f>1.3+2.1</f>
        <v>3.4</v>
      </c>
      <c r="E502" s="45"/>
      <c r="F502" s="302">
        <f t="shared" si="14"/>
        <v>0</v>
      </c>
    </row>
    <row r="503" spans="1:6">
      <c r="A503" s="540"/>
      <c r="B503" s="483"/>
      <c r="C503" s="544"/>
      <c r="D503" s="543"/>
      <c r="F503" s="302">
        <f t="shared" si="14"/>
        <v>0</v>
      </c>
    </row>
    <row r="504" spans="1:6" s="278" customFormat="1">
      <c r="A504" s="559">
        <f>IF(B504&gt;0,MAX(A483:A495)+1,"")</f>
        <v>3</v>
      </c>
      <c r="B504" s="294" t="s">
        <v>512</v>
      </c>
      <c r="C504" s="530"/>
      <c r="D504" s="287"/>
      <c r="E504" s="13"/>
      <c r="F504" s="302">
        <f t="shared" si="14"/>
        <v>0</v>
      </c>
    </row>
    <row r="505" spans="1:6" s="278" customFormat="1" ht="140.25">
      <c r="A505" s="284"/>
      <c r="B505" s="406" t="s">
        <v>5511</v>
      </c>
      <c r="C505" s="530"/>
      <c r="D505" s="287"/>
      <c r="E505" s="13"/>
      <c r="F505" s="302">
        <f t="shared" si="14"/>
        <v>0</v>
      </c>
    </row>
    <row r="506" spans="1:6" s="278" customFormat="1">
      <c r="A506" s="284"/>
      <c r="B506" s="406" t="s">
        <v>557</v>
      </c>
      <c r="C506" s="530"/>
      <c r="D506" s="287"/>
      <c r="E506" s="13"/>
      <c r="F506" s="302">
        <f t="shared" si="14"/>
        <v>0</v>
      </c>
    </row>
    <row r="507" spans="1:6" s="278" customFormat="1" ht="16.5" customHeight="1">
      <c r="A507" s="284"/>
      <c r="B507" s="406" t="s">
        <v>558</v>
      </c>
      <c r="C507" s="530"/>
      <c r="D507" s="287"/>
      <c r="E507" s="13"/>
      <c r="F507" s="302">
        <f t="shared" si="14"/>
        <v>0</v>
      </c>
    </row>
    <row r="508" spans="1:6" s="278" customFormat="1" ht="89.25">
      <c r="A508" s="284"/>
      <c r="B508" s="406" t="s">
        <v>919</v>
      </c>
      <c r="C508" s="530"/>
      <c r="D508" s="287"/>
      <c r="E508" s="13"/>
      <c r="F508" s="302">
        <f t="shared" si="14"/>
        <v>0</v>
      </c>
    </row>
    <row r="509" spans="1:6" s="278" customFormat="1" ht="51">
      <c r="A509" s="284"/>
      <c r="B509" s="406" t="s">
        <v>229</v>
      </c>
      <c r="C509" s="530"/>
      <c r="D509" s="287"/>
      <c r="E509" s="13"/>
      <c r="F509" s="302">
        <f t="shared" si="14"/>
        <v>0</v>
      </c>
    </row>
    <row r="510" spans="1:6" s="278" customFormat="1" ht="25.5">
      <c r="A510" s="284"/>
      <c r="B510" s="406" t="s">
        <v>135</v>
      </c>
      <c r="C510" s="530"/>
      <c r="D510" s="287"/>
      <c r="E510" s="13"/>
      <c r="F510" s="302">
        <f t="shared" si="14"/>
        <v>0</v>
      </c>
    </row>
    <row r="511" spans="1:6" s="278" customFormat="1">
      <c r="A511" s="284"/>
      <c r="B511" s="406" t="s">
        <v>178</v>
      </c>
      <c r="C511" s="539" t="s">
        <v>27</v>
      </c>
      <c r="D511" s="287">
        <v>2.4</v>
      </c>
      <c r="E511" s="45"/>
      <c r="F511" s="302">
        <f t="shared" si="14"/>
        <v>0</v>
      </c>
    </row>
    <row r="512" spans="1:6">
      <c r="A512" s="540"/>
      <c r="B512" s="483"/>
      <c r="C512" s="544"/>
      <c r="D512" s="543"/>
      <c r="F512" s="302">
        <f t="shared" si="14"/>
        <v>0</v>
      </c>
    </row>
    <row r="513" spans="1:6" s="278" customFormat="1">
      <c r="A513" s="559">
        <f>IF(B513&gt;0,MAX(A484:A504)+1,"")</f>
        <v>4</v>
      </c>
      <c r="B513" s="294" t="s">
        <v>514</v>
      </c>
      <c r="C513" s="530"/>
      <c r="D513" s="287"/>
      <c r="E513" s="13"/>
      <c r="F513" s="302">
        <f t="shared" si="14"/>
        <v>0</v>
      </c>
    </row>
    <row r="514" spans="1:6" s="278" customFormat="1" ht="153">
      <c r="A514" s="284"/>
      <c r="B514" s="406" t="s">
        <v>5510</v>
      </c>
      <c r="C514" s="530"/>
      <c r="D514" s="287"/>
      <c r="E514" s="13"/>
      <c r="F514" s="302">
        <f t="shared" si="14"/>
        <v>0</v>
      </c>
    </row>
    <row r="515" spans="1:6" s="278" customFormat="1">
      <c r="A515" s="284"/>
      <c r="B515" s="406" t="s">
        <v>557</v>
      </c>
      <c r="C515" s="530"/>
      <c r="D515" s="287"/>
      <c r="E515" s="13"/>
      <c r="F515" s="302">
        <f t="shared" si="14"/>
        <v>0</v>
      </c>
    </row>
    <row r="516" spans="1:6" s="278" customFormat="1">
      <c r="A516" s="284"/>
      <c r="B516" s="406" t="s">
        <v>559</v>
      </c>
      <c r="C516" s="530"/>
      <c r="D516" s="287"/>
      <c r="E516" s="13"/>
      <c r="F516" s="302">
        <f t="shared" si="14"/>
        <v>0</v>
      </c>
    </row>
    <row r="517" spans="1:6" s="278" customFormat="1" ht="89.25">
      <c r="A517" s="284"/>
      <c r="B517" s="406" t="s">
        <v>919</v>
      </c>
      <c r="C517" s="530"/>
      <c r="D517" s="287"/>
      <c r="E517" s="13"/>
      <c r="F517" s="302">
        <f t="shared" si="14"/>
        <v>0</v>
      </c>
    </row>
    <row r="518" spans="1:6" s="278" customFormat="1" ht="25.5">
      <c r="A518" s="284"/>
      <c r="B518" s="406" t="s">
        <v>515</v>
      </c>
      <c r="C518" s="530"/>
      <c r="D518" s="287"/>
      <c r="E518" s="13"/>
      <c r="F518" s="302">
        <f t="shared" si="14"/>
        <v>0</v>
      </c>
    </row>
    <row r="519" spans="1:6" s="278" customFormat="1" ht="51">
      <c r="A519" s="284"/>
      <c r="B519" s="406" t="s">
        <v>229</v>
      </c>
      <c r="C519" s="530"/>
      <c r="D519" s="287"/>
      <c r="E519" s="13"/>
      <c r="F519" s="302">
        <f t="shared" si="14"/>
        <v>0</v>
      </c>
    </row>
    <row r="520" spans="1:6" s="278" customFormat="1" ht="25.5">
      <c r="A520" s="284"/>
      <c r="B520" s="406" t="s">
        <v>135</v>
      </c>
      <c r="C520" s="530"/>
      <c r="D520" s="287"/>
      <c r="E520" s="13"/>
      <c r="F520" s="302">
        <f t="shared" si="14"/>
        <v>0</v>
      </c>
    </row>
    <row r="521" spans="1:6" s="278" customFormat="1">
      <c r="A521" s="284"/>
      <c r="B521" s="406" t="s">
        <v>501</v>
      </c>
      <c r="C521" s="561"/>
      <c r="D521" s="318"/>
      <c r="E521" s="45"/>
      <c r="F521" s="302">
        <f t="shared" si="14"/>
        <v>0</v>
      </c>
    </row>
    <row r="522" spans="1:6" s="278" customFormat="1">
      <c r="A522" s="284"/>
      <c r="B522" s="406" t="s">
        <v>209</v>
      </c>
      <c r="C522" s="539" t="s">
        <v>27</v>
      </c>
      <c r="D522" s="287">
        <v>30</v>
      </c>
      <c r="E522" s="45"/>
      <c r="F522" s="302">
        <f t="shared" si="14"/>
        <v>0</v>
      </c>
    </row>
    <row r="523" spans="1:6" s="278" customFormat="1">
      <c r="A523" s="284"/>
      <c r="B523" s="406" t="s">
        <v>502</v>
      </c>
      <c r="C523" s="539" t="s">
        <v>27</v>
      </c>
      <c r="D523" s="287">
        <v>0.2</v>
      </c>
      <c r="E523" s="45"/>
      <c r="F523" s="302">
        <f t="shared" si="14"/>
        <v>0</v>
      </c>
    </row>
    <row r="524" spans="1:6" s="278" customFormat="1">
      <c r="A524" s="284"/>
      <c r="B524" s="406" t="s">
        <v>516</v>
      </c>
      <c r="C524" s="539" t="s">
        <v>26</v>
      </c>
      <c r="D524" s="287">
        <v>7.6</v>
      </c>
      <c r="E524" s="45"/>
      <c r="F524" s="302">
        <f t="shared" si="14"/>
        <v>0</v>
      </c>
    </row>
    <row r="525" spans="1:6" s="278" customFormat="1">
      <c r="A525" s="284"/>
      <c r="B525" s="406"/>
      <c r="C525" s="539"/>
      <c r="D525" s="287"/>
      <c r="E525" s="45"/>
      <c r="F525" s="302">
        <f t="shared" si="14"/>
        <v>0</v>
      </c>
    </row>
    <row r="526" spans="1:6" s="278" customFormat="1">
      <c r="A526" s="559">
        <f>IF(B526&gt;0,MAX(A484:A525)+1,"")</f>
        <v>5</v>
      </c>
      <c r="B526" s="294" t="s">
        <v>2063</v>
      </c>
      <c r="C526" s="539"/>
      <c r="D526" s="318"/>
      <c r="E526" s="45"/>
      <c r="F526" s="302">
        <f t="shared" si="14"/>
        <v>0</v>
      </c>
    </row>
    <row r="527" spans="1:6" s="278" customFormat="1" ht="25.5">
      <c r="A527" s="284"/>
      <c r="B527" s="406" t="s">
        <v>2064</v>
      </c>
      <c r="C527" s="530"/>
      <c r="D527" s="287"/>
      <c r="E527" s="13"/>
      <c r="F527" s="302">
        <f t="shared" si="14"/>
        <v>0</v>
      </c>
    </row>
    <row r="528" spans="1:6" s="278" customFormat="1" ht="25.5">
      <c r="A528" s="284"/>
      <c r="B528" s="406" t="s">
        <v>137</v>
      </c>
      <c r="C528" s="530"/>
      <c r="D528" s="287"/>
      <c r="E528" s="13"/>
      <c r="F528" s="302">
        <f t="shared" si="14"/>
        <v>0</v>
      </c>
    </row>
    <row r="529" spans="1:6" s="278" customFormat="1" ht="58.9" customHeight="1">
      <c r="A529" s="284"/>
      <c r="B529" s="406" t="s">
        <v>136</v>
      </c>
      <c r="C529" s="530"/>
      <c r="D529" s="287"/>
      <c r="E529" s="13"/>
      <c r="F529" s="302">
        <f t="shared" si="14"/>
        <v>0</v>
      </c>
    </row>
    <row r="530" spans="1:6" s="278" customFormat="1" ht="32.25" customHeight="1">
      <c r="A530" s="284"/>
      <c r="B530" s="406" t="s">
        <v>135</v>
      </c>
      <c r="C530" s="530"/>
      <c r="D530" s="287"/>
      <c r="E530" s="13"/>
      <c r="F530" s="302">
        <f t="shared" si="14"/>
        <v>0</v>
      </c>
    </row>
    <row r="531" spans="1:6" s="278" customFormat="1">
      <c r="A531" s="549"/>
      <c r="B531" s="449" t="s">
        <v>2065</v>
      </c>
      <c r="C531" s="547"/>
      <c r="D531" s="548"/>
      <c r="E531" s="13"/>
      <c r="F531" s="302">
        <f t="shared" si="14"/>
        <v>0</v>
      </c>
    </row>
    <row r="532" spans="1:6" s="278" customFormat="1">
      <c r="A532" s="284"/>
      <c r="B532" s="406" t="s">
        <v>2066</v>
      </c>
      <c r="C532" s="539"/>
      <c r="D532" s="287"/>
      <c r="E532" s="45"/>
      <c r="F532" s="302">
        <f t="shared" si="14"/>
        <v>0</v>
      </c>
    </row>
    <row r="533" spans="1:6" s="278" customFormat="1">
      <c r="A533" s="284"/>
      <c r="B533" s="434" t="s">
        <v>2067</v>
      </c>
      <c r="C533" s="539"/>
      <c r="D533" s="318"/>
      <c r="E533" s="45"/>
      <c r="F533" s="302">
        <f t="shared" si="14"/>
        <v>0</v>
      </c>
    </row>
    <row r="534" spans="1:6" s="278" customFormat="1">
      <c r="A534" s="284"/>
      <c r="B534" s="434" t="s">
        <v>2070</v>
      </c>
      <c r="C534" s="539" t="s">
        <v>34</v>
      </c>
      <c r="D534" s="318">
        <v>22</v>
      </c>
      <c r="E534" s="45"/>
      <c r="F534" s="302">
        <f t="shared" si="14"/>
        <v>0</v>
      </c>
    </row>
    <row r="535" spans="1:6" s="278" customFormat="1">
      <c r="A535" s="284"/>
      <c r="B535" s="434" t="s">
        <v>2071</v>
      </c>
      <c r="C535" s="539" t="s">
        <v>34</v>
      </c>
      <c r="D535" s="318">
        <v>2</v>
      </c>
      <c r="E535" s="45"/>
      <c r="F535" s="302">
        <f t="shared" si="14"/>
        <v>0</v>
      </c>
    </row>
    <row r="536" spans="1:6" s="278" customFormat="1">
      <c r="A536" s="284"/>
      <c r="B536" s="406" t="s">
        <v>2068</v>
      </c>
      <c r="C536" s="539"/>
      <c r="D536" s="318"/>
      <c r="E536" s="45"/>
      <c r="F536" s="302">
        <f t="shared" si="14"/>
        <v>0</v>
      </c>
    </row>
    <row r="537" spans="1:6" s="278" customFormat="1">
      <c r="A537" s="284"/>
      <c r="B537" s="406" t="s">
        <v>2072</v>
      </c>
      <c r="C537" s="539" t="s">
        <v>34</v>
      </c>
      <c r="D537" s="318">
        <v>19</v>
      </c>
      <c r="E537" s="45"/>
      <c r="F537" s="302">
        <f t="shared" si="14"/>
        <v>0</v>
      </c>
    </row>
    <row r="538" spans="1:6" s="278" customFormat="1">
      <c r="A538" s="284"/>
      <c r="B538" s="406" t="s">
        <v>2073</v>
      </c>
      <c r="C538" s="539" t="s">
        <v>34</v>
      </c>
      <c r="D538" s="318">
        <v>4</v>
      </c>
      <c r="E538" s="45"/>
      <c r="F538" s="302">
        <f t="shared" ref="F538:F547" si="15">E538*D538</f>
        <v>0</v>
      </c>
    </row>
    <row r="539" spans="1:6" s="278" customFormat="1">
      <c r="A539" s="284"/>
      <c r="B539" s="406" t="s">
        <v>2069</v>
      </c>
      <c r="C539" s="539" t="s">
        <v>26</v>
      </c>
      <c r="D539" s="318">
        <v>10</v>
      </c>
      <c r="E539" s="45"/>
      <c r="F539" s="302">
        <f t="shared" si="15"/>
        <v>0</v>
      </c>
    </row>
    <row r="540" spans="1:6" s="278" customFormat="1">
      <c r="A540" s="284"/>
      <c r="B540" s="406"/>
      <c r="C540" s="539"/>
      <c r="D540" s="318"/>
      <c r="E540" s="45"/>
      <c r="F540" s="302">
        <f t="shared" si="15"/>
        <v>0</v>
      </c>
    </row>
    <row r="541" spans="1:6" s="278" customFormat="1">
      <c r="A541" s="559">
        <f>IF(B541&gt;0,MAX(A499:A540)+1,"")</f>
        <v>6</v>
      </c>
      <c r="B541" s="294" t="s">
        <v>5572</v>
      </c>
      <c r="C541" s="539"/>
      <c r="D541" s="318"/>
      <c r="E541" s="45"/>
      <c r="F541" s="302">
        <f t="shared" si="15"/>
        <v>0</v>
      </c>
    </row>
    <row r="542" spans="1:6" s="278" customFormat="1" ht="38.25">
      <c r="A542" s="284"/>
      <c r="B542" s="406" t="s">
        <v>5571</v>
      </c>
      <c r="C542" s="539"/>
      <c r="D542" s="318"/>
      <c r="E542" s="45"/>
      <c r="F542" s="302">
        <f t="shared" si="15"/>
        <v>0</v>
      </c>
    </row>
    <row r="543" spans="1:6" s="278" customFormat="1" ht="25.5">
      <c r="A543" s="284"/>
      <c r="B543" s="406" t="s">
        <v>5573</v>
      </c>
      <c r="C543" s="539"/>
      <c r="D543" s="318"/>
      <c r="E543" s="45"/>
      <c r="F543" s="302">
        <f t="shared" si="15"/>
        <v>0</v>
      </c>
    </row>
    <row r="544" spans="1:6" s="278" customFormat="1" ht="51">
      <c r="A544" s="284"/>
      <c r="B544" s="406" t="s">
        <v>136</v>
      </c>
      <c r="C544" s="539"/>
      <c r="D544" s="318"/>
      <c r="E544" s="45"/>
      <c r="F544" s="302">
        <f t="shared" si="15"/>
        <v>0</v>
      </c>
    </row>
    <row r="545" spans="1:6" s="278" customFormat="1" ht="25.5">
      <c r="A545" s="284"/>
      <c r="B545" s="406" t="s">
        <v>135</v>
      </c>
      <c r="C545" s="539"/>
      <c r="D545" s="318"/>
      <c r="E545" s="45"/>
      <c r="F545" s="302">
        <f t="shared" si="15"/>
        <v>0</v>
      </c>
    </row>
    <row r="546" spans="1:6" s="278" customFormat="1">
      <c r="A546" s="284"/>
      <c r="B546" s="406" t="s">
        <v>463</v>
      </c>
      <c r="C546" s="539" t="s">
        <v>27</v>
      </c>
      <c r="D546" s="318">
        <v>2</v>
      </c>
      <c r="E546" s="45"/>
      <c r="F546" s="302">
        <f t="shared" si="15"/>
        <v>0</v>
      </c>
    </row>
    <row r="547" spans="1:6" s="278" customFormat="1">
      <c r="A547" s="284"/>
      <c r="B547" s="406"/>
      <c r="C547" s="539"/>
      <c r="D547" s="318"/>
      <c r="E547" s="45"/>
      <c r="F547" s="302">
        <f t="shared" si="15"/>
        <v>0</v>
      </c>
    </row>
    <row r="548" spans="1:6" s="278" customFormat="1">
      <c r="A548" s="289" t="s">
        <v>117</v>
      </c>
      <c r="B548" s="290" t="s">
        <v>134</v>
      </c>
      <c r="C548" s="534"/>
      <c r="D548" s="535"/>
      <c r="E548" s="654"/>
      <c r="F548" s="536">
        <f>SUM(F465:F547)</f>
        <v>0</v>
      </c>
    </row>
    <row r="549" spans="1:6" s="278" customFormat="1">
      <c r="A549" s="451"/>
      <c r="B549" s="562"/>
      <c r="C549" s="563"/>
      <c r="D549" s="564"/>
      <c r="E549" s="656"/>
      <c r="F549" s="565"/>
    </row>
    <row r="550" spans="1:6" s="278" customFormat="1">
      <c r="A550" s="289" t="s">
        <v>116</v>
      </c>
      <c r="B550" s="290" t="s">
        <v>133</v>
      </c>
      <c r="C550" s="534"/>
      <c r="D550" s="535"/>
      <c r="E550" s="654"/>
      <c r="F550" s="536"/>
    </row>
    <row r="551" spans="1:6">
      <c r="A551" s="540"/>
      <c r="B551" s="541"/>
      <c r="C551" s="542"/>
      <c r="D551" s="543"/>
      <c r="E551" s="655"/>
      <c r="F551" s="566"/>
    </row>
    <row r="552" spans="1:6" ht="51">
      <c r="A552" s="540"/>
      <c r="B552" s="567" t="s">
        <v>560</v>
      </c>
      <c r="C552" s="542"/>
      <c r="D552" s="543"/>
      <c r="E552" s="655"/>
      <c r="F552" s="566"/>
    </row>
    <row r="553" spans="1:6" ht="38.25">
      <c r="A553" s="540"/>
      <c r="B553" s="567" t="s">
        <v>1329</v>
      </c>
      <c r="C553" s="542"/>
      <c r="D553" s="543"/>
      <c r="E553" s="655"/>
      <c r="F553" s="566"/>
    </row>
    <row r="554" spans="1:6" ht="25.5">
      <c r="A554" s="540"/>
      <c r="B554" s="567" t="s">
        <v>2016</v>
      </c>
      <c r="C554" s="542"/>
      <c r="D554" s="543"/>
      <c r="E554" s="655"/>
      <c r="F554" s="566"/>
    </row>
    <row r="555" spans="1:6">
      <c r="A555" s="540"/>
      <c r="B555" s="541"/>
      <c r="C555" s="542"/>
      <c r="D555" s="543"/>
      <c r="E555" s="655"/>
      <c r="F555" s="566"/>
    </row>
    <row r="556" spans="1:6" s="278" customFormat="1">
      <c r="A556" s="568">
        <v>1</v>
      </c>
      <c r="B556" s="294" t="s">
        <v>1330</v>
      </c>
      <c r="C556" s="530"/>
      <c r="D556" s="287"/>
      <c r="E556" s="13"/>
      <c r="F556" s="288"/>
    </row>
    <row r="557" spans="1:6" s="278" customFormat="1" ht="51">
      <c r="A557" s="568"/>
      <c r="B557" s="406" t="s">
        <v>1331</v>
      </c>
      <c r="C557" s="530"/>
      <c r="D557" s="287"/>
      <c r="E557" s="13"/>
      <c r="F557" s="288"/>
    </row>
    <row r="558" spans="1:6" s="278" customFormat="1">
      <c r="A558" s="568"/>
      <c r="B558" s="406" t="s">
        <v>157</v>
      </c>
      <c r="C558" s="561" t="s">
        <v>27</v>
      </c>
      <c r="D558" s="318">
        <v>413.2</v>
      </c>
      <c r="E558" s="45"/>
      <c r="F558" s="302">
        <f>D558*E558</f>
        <v>0</v>
      </c>
    </row>
    <row r="559" spans="1:6" s="278" customFormat="1">
      <c r="A559" s="568"/>
      <c r="B559" s="406"/>
      <c r="C559" s="561"/>
      <c r="D559" s="318"/>
      <c r="E559" s="45"/>
      <c r="F559" s="302">
        <f t="shared" ref="F559:F585" si="16">D559*E559</f>
        <v>0</v>
      </c>
    </row>
    <row r="560" spans="1:6" s="278" customFormat="1">
      <c r="A560" s="568">
        <f>IF(B560&gt;0,MAX(A551:A559)+1,"")</f>
        <v>2</v>
      </c>
      <c r="B560" s="294" t="s">
        <v>132</v>
      </c>
      <c r="C560" s="530"/>
      <c r="D560" s="287"/>
      <c r="E560" s="13"/>
      <c r="F560" s="302">
        <f t="shared" si="16"/>
        <v>0</v>
      </c>
    </row>
    <row r="561" spans="1:6" s="278" customFormat="1" ht="38.25">
      <c r="A561" s="568"/>
      <c r="B561" s="406" t="s">
        <v>1328</v>
      </c>
      <c r="C561" s="530"/>
      <c r="D561" s="287"/>
      <c r="E561" s="13"/>
      <c r="F561" s="302">
        <f t="shared" si="16"/>
        <v>0</v>
      </c>
    </row>
    <row r="562" spans="1:6" s="278" customFormat="1">
      <c r="A562" s="568"/>
      <c r="B562" s="406" t="s">
        <v>157</v>
      </c>
      <c r="C562" s="561" t="s">
        <v>27</v>
      </c>
      <c r="D562" s="318">
        <f>1174.8+1126.9+712.3+593.4</f>
        <v>3607.4</v>
      </c>
      <c r="E562" s="45"/>
      <c r="F562" s="302">
        <f t="shared" si="16"/>
        <v>0</v>
      </c>
    </row>
    <row r="563" spans="1:6">
      <c r="A563" s="569"/>
      <c r="B563" s="483"/>
      <c r="C563" s="544"/>
      <c r="D563" s="543"/>
      <c r="F563" s="302">
        <f t="shared" si="16"/>
        <v>0</v>
      </c>
    </row>
    <row r="564" spans="1:6" s="278" customFormat="1" ht="30">
      <c r="A564" s="568">
        <f>IF(B564&gt;0,MAX(A555:A563)+1,"")</f>
        <v>3</v>
      </c>
      <c r="B564" s="294" t="s">
        <v>498</v>
      </c>
      <c r="C564" s="539"/>
      <c r="D564" s="287"/>
      <c r="E564" s="45"/>
      <c r="F564" s="302">
        <f t="shared" si="16"/>
        <v>0</v>
      </c>
    </row>
    <row r="565" spans="1:6" s="278" customFormat="1" ht="51">
      <c r="A565" s="568"/>
      <c r="B565" s="406" t="s">
        <v>2192</v>
      </c>
      <c r="C565" s="539"/>
      <c r="D565" s="287"/>
      <c r="E565" s="45"/>
      <c r="F565" s="302">
        <f t="shared" si="16"/>
        <v>0</v>
      </c>
    </row>
    <row r="566" spans="1:6" s="278" customFormat="1">
      <c r="A566" s="568"/>
      <c r="B566" s="406" t="s">
        <v>499</v>
      </c>
      <c r="C566" s="539" t="s">
        <v>27</v>
      </c>
      <c r="D566" s="287">
        <f>1567.1</f>
        <v>1567.1</v>
      </c>
      <c r="E566" s="45"/>
      <c r="F566" s="302">
        <f t="shared" si="16"/>
        <v>0</v>
      </c>
    </row>
    <row r="567" spans="1:6">
      <c r="A567" s="569"/>
      <c r="B567" s="483"/>
      <c r="C567" s="544"/>
      <c r="D567" s="543"/>
      <c r="F567" s="302">
        <f t="shared" si="16"/>
        <v>0</v>
      </c>
    </row>
    <row r="568" spans="1:6" s="278" customFormat="1" ht="30">
      <c r="A568" s="568">
        <f>IF(B568&gt;0,MAX(A559:A567)+1,"")</f>
        <v>4</v>
      </c>
      <c r="B568" s="294" t="s">
        <v>1357</v>
      </c>
      <c r="C568" s="530"/>
      <c r="D568" s="287"/>
      <c r="E568" s="13"/>
      <c r="F568" s="302">
        <f t="shared" si="16"/>
        <v>0</v>
      </c>
    </row>
    <row r="569" spans="1:6" s="278" customFormat="1" ht="63.75">
      <c r="A569" s="568"/>
      <c r="B569" s="406" t="s">
        <v>1358</v>
      </c>
      <c r="C569" s="530"/>
      <c r="D569" s="287"/>
      <c r="E569" s="13"/>
      <c r="F569" s="302">
        <f t="shared" si="16"/>
        <v>0</v>
      </c>
    </row>
    <row r="570" spans="1:6" s="278" customFormat="1">
      <c r="A570" s="568"/>
      <c r="B570" s="406" t="s">
        <v>157</v>
      </c>
      <c r="C570" s="561" t="s">
        <v>27</v>
      </c>
      <c r="D570" s="318">
        <f>36.6+49+42.2+18.9</f>
        <v>146.69999999999999</v>
      </c>
      <c r="E570" s="45"/>
      <c r="F570" s="302">
        <f t="shared" si="16"/>
        <v>0</v>
      </c>
    </row>
    <row r="571" spans="1:6" s="278" customFormat="1">
      <c r="A571" s="568"/>
      <c r="B571" s="406"/>
      <c r="C571" s="561"/>
      <c r="D571" s="318"/>
      <c r="E571" s="45"/>
      <c r="F571" s="302">
        <f t="shared" si="16"/>
        <v>0</v>
      </c>
    </row>
    <row r="572" spans="1:6" s="278" customFormat="1">
      <c r="A572" s="568">
        <f>IF(B572&gt;0,MAX(A563:A571)+1,"")</f>
        <v>5</v>
      </c>
      <c r="B572" s="294" t="s">
        <v>131</v>
      </c>
      <c r="C572" s="530"/>
      <c r="D572" s="287"/>
      <c r="E572" s="13"/>
      <c r="F572" s="302">
        <f t="shared" si="16"/>
        <v>0</v>
      </c>
    </row>
    <row r="573" spans="1:6" s="278" customFormat="1" ht="38.25">
      <c r="A573" s="568"/>
      <c r="B573" s="406" t="s">
        <v>4579</v>
      </c>
      <c r="C573" s="530"/>
      <c r="D573" s="287"/>
      <c r="E573" s="13"/>
      <c r="F573" s="302">
        <f t="shared" si="16"/>
        <v>0</v>
      </c>
    </row>
    <row r="574" spans="1:6" s="278" customFormat="1">
      <c r="A574" s="568"/>
      <c r="B574" s="406" t="s">
        <v>130</v>
      </c>
      <c r="C574" s="539" t="s">
        <v>27</v>
      </c>
      <c r="D574" s="287">
        <v>2950</v>
      </c>
      <c r="E574" s="45"/>
      <c r="F574" s="302">
        <f t="shared" si="16"/>
        <v>0</v>
      </c>
    </row>
    <row r="575" spans="1:6" s="278" customFormat="1">
      <c r="A575" s="568"/>
      <c r="B575" s="406"/>
      <c r="C575" s="539"/>
      <c r="D575" s="287"/>
      <c r="E575" s="45"/>
      <c r="F575" s="302">
        <f t="shared" si="16"/>
        <v>0</v>
      </c>
    </row>
    <row r="576" spans="1:6" s="278" customFormat="1" ht="30">
      <c r="A576" s="568">
        <f>IF(B576&gt;0,MAX(A567:A575)+1,"")</f>
        <v>6</v>
      </c>
      <c r="B576" s="294" t="s">
        <v>189</v>
      </c>
      <c r="C576" s="530"/>
      <c r="D576" s="287"/>
      <c r="E576" s="13"/>
      <c r="F576" s="302">
        <f t="shared" si="16"/>
        <v>0</v>
      </c>
    </row>
    <row r="577" spans="1:7" s="278" customFormat="1" ht="38.25">
      <c r="A577" s="568"/>
      <c r="B577" s="406" t="s">
        <v>4580</v>
      </c>
      <c r="C577" s="530"/>
      <c r="D577" s="287"/>
      <c r="E577" s="13"/>
      <c r="F577" s="302">
        <f t="shared" si="16"/>
        <v>0</v>
      </c>
    </row>
    <row r="578" spans="1:7" s="278" customFormat="1">
      <c r="A578" s="568"/>
      <c r="B578" s="406" t="s">
        <v>130</v>
      </c>
      <c r="C578" s="539" t="s">
        <v>27</v>
      </c>
      <c r="D578" s="287">
        <v>120</v>
      </c>
      <c r="E578" s="45"/>
      <c r="F578" s="302">
        <f t="shared" si="16"/>
        <v>0</v>
      </c>
    </row>
    <row r="579" spans="1:7" s="278" customFormat="1">
      <c r="A579" s="568"/>
      <c r="B579" s="406"/>
      <c r="C579" s="539"/>
      <c r="D579" s="287"/>
      <c r="E579" s="45"/>
      <c r="F579" s="302">
        <f t="shared" si="16"/>
        <v>0</v>
      </c>
    </row>
    <row r="580" spans="1:7" s="278" customFormat="1">
      <c r="A580" s="568">
        <f>IF(B580&gt;0,MAX(A571:A579)+1,"")</f>
        <v>7</v>
      </c>
      <c r="B580" s="294" t="s">
        <v>246</v>
      </c>
      <c r="C580" s="539"/>
      <c r="D580" s="287"/>
      <c r="E580" s="45"/>
      <c r="F580" s="302">
        <f t="shared" si="16"/>
        <v>0</v>
      </c>
    </row>
    <row r="581" spans="1:7" s="278" customFormat="1" ht="132" customHeight="1">
      <c r="A581" s="568"/>
      <c r="B581" s="406" t="s">
        <v>194</v>
      </c>
      <c r="C581" s="539"/>
      <c r="D581" s="287"/>
      <c r="E581" s="45"/>
      <c r="F581" s="302">
        <f t="shared" si="16"/>
        <v>0</v>
      </c>
    </row>
    <row r="582" spans="1:7" s="278" customFormat="1">
      <c r="A582" s="568"/>
      <c r="B582" s="406" t="s">
        <v>247</v>
      </c>
      <c r="C582" s="539"/>
      <c r="D582" s="287"/>
      <c r="E582" s="45"/>
      <c r="F582" s="302">
        <f t="shared" si="16"/>
        <v>0</v>
      </c>
    </row>
    <row r="583" spans="1:7" s="278" customFormat="1">
      <c r="A583" s="568"/>
      <c r="B583" s="406" t="s">
        <v>28</v>
      </c>
      <c r="C583" s="539"/>
      <c r="D583" s="287"/>
      <c r="E583" s="45"/>
      <c r="F583" s="302">
        <f t="shared" si="16"/>
        <v>0</v>
      </c>
    </row>
    <row r="584" spans="1:7" s="278" customFormat="1">
      <c r="A584" s="568"/>
      <c r="B584" s="406" t="s">
        <v>243</v>
      </c>
      <c r="C584" s="539" t="s">
        <v>27</v>
      </c>
      <c r="D584" s="287">
        <v>3</v>
      </c>
      <c r="E584" s="45"/>
      <c r="F584" s="302">
        <f t="shared" si="16"/>
        <v>0</v>
      </c>
    </row>
    <row r="585" spans="1:7" s="278" customFormat="1">
      <c r="A585" s="568"/>
      <c r="B585" s="406" t="s">
        <v>230</v>
      </c>
      <c r="C585" s="539" t="s">
        <v>27</v>
      </c>
      <c r="D585" s="287">
        <v>9</v>
      </c>
      <c r="E585" s="45"/>
      <c r="F585" s="302">
        <f t="shared" si="16"/>
        <v>0</v>
      </c>
    </row>
    <row r="586" spans="1:7" s="278" customFormat="1">
      <c r="A586" s="284"/>
      <c r="B586" s="406"/>
      <c r="C586" s="539"/>
      <c r="D586" s="287"/>
      <c r="E586" s="45"/>
      <c r="F586" s="302">
        <f t="shared" ref="F586" si="17">D586*E586</f>
        <v>0</v>
      </c>
    </row>
    <row r="587" spans="1:7" s="278" customFormat="1">
      <c r="A587" s="289" t="s">
        <v>116</v>
      </c>
      <c r="B587" s="290" t="s">
        <v>114</v>
      </c>
      <c r="C587" s="534"/>
      <c r="D587" s="535"/>
      <c r="E587" s="654"/>
      <c r="F587" s="536">
        <f>SUM(F557:F586)</f>
        <v>0</v>
      </c>
    </row>
    <row r="588" spans="1:7" s="570" customFormat="1">
      <c r="A588" s="284"/>
      <c r="B588" s="294"/>
      <c r="C588" s="530"/>
      <c r="D588" s="287"/>
      <c r="E588" s="13"/>
      <c r="F588" s="288"/>
    </row>
    <row r="589" spans="1:7" s="571" customFormat="1">
      <c r="A589" s="289" t="s">
        <v>115</v>
      </c>
      <c r="B589" s="290" t="s">
        <v>129</v>
      </c>
      <c r="C589" s="534"/>
      <c r="D589" s="535"/>
      <c r="E589" s="654"/>
      <c r="F589" s="536"/>
      <c r="G589" s="308"/>
    </row>
    <row r="590" spans="1:7" s="571" customFormat="1">
      <c r="A590" s="284"/>
      <c r="B590" s="294"/>
      <c r="C590" s="530"/>
      <c r="D590" s="287"/>
      <c r="E590" s="13"/>
      <c r="F590" s="288"/>
      <c r="G590" s="308"/>
    </row>
    <row r="591" spans="1:7" s="571" customFormat="1" ht="65.25" customHeight="1">
      <c r="A591" s="284"/>
      <c r="B591" s="294" t="s">
        <v>1989</v>
      </c>
      <c r="C591" s="530"/>
      <c r="D591" s="287"/>
      <c r="E591" s="13"/>
      <c r="F591" s="288"/>
      <c r="G591" s="308"/>
    </row>
    <row r="592" spans="1:7" s="571" customFormat="1">
      <c r="A592" s="284"/>
      <c r="B592" s="294"/>
      <c r="C592" s="530"/>
      <c r="D592" s="287"/>
      <c r="E592" s="13"/>
      <c r="F592" s="288"/>
      <c r="G592" s="308"/>
    </row>
    <row r="593" spans="1:8" s="570" customFormat="1">
      <c r="A593" s="572">
        <v>1</v>
      </c>
      <c r="B593" s="294" t="s">
        <v>233</v>
      </c>
      <c r="C593" s="530"/>
      <c r="D593" s="287"/>
      <c r="E593" s="13"/>
      <c r="F593" s="302">
        <f t="shared" ref="F593:F594" si="18">E593*D593</f>
        <v>0</v>
      </c>
      <c r="G593" s="278"/>
    </row>
    <row r="594" spans="1:8" s="570" customFormat="1" ht="79.5" customHeight="1">
      <c r="A594" s="573"/>
      <c r="B594" s="406" t="s">
        <v>1990</v>
      </c>
      <c r="C594" s="530"/>
      <c r="D594" s="287"/>
      <c r="E594" s="13"/>
      <c r="F594" s="302">
        <f t="shared" si="18"/>
        <v>0</v>
      </c>
    </row>
    <row r="595" spans="1:8" s="570" customFormat="1">
      <c r="A595" s="284"/>
      <c r="B595" s="406" t="s">
        <v>128</v>
      </c>
      <c r="C595" s="539"/>
      <c r="D595" s="301"/>
      <c r="E595" s="45"/>
      <c r="F595" s="302">
        <f>E595*D595</f>
        <v>0</v>
      </c>
    </row>
    <row r="596" spans="1:8" s="570" customFormat="1">
      <c r="A596" s="284"/>
      <c r="B596" s="406" t="s">
        <v>1970</v>
      </c>
      <c r="C596" s="539" t="s">
        <v>26</v>
      </c>
      <c r="D596" s="301">
        <v>52</v>
      </c>
      <c r="E596" s="45"/>
      <c r="F596" s="302">
        <f>D596*E596</f>
        <v>0</v>
      </c>
      <c r="H596" s="574"/>
    </row>
    <row r="597" spans="1:8" s="570" customFormat="1">
      <c r="A597" s="284"/>
      <c r="B597" s="406" t="s">
        <v>1974</v>
      </c>
      <c r="C597" s="539" t="s">
        <v>26</v>
      </c>
      <c r="D597" s="301">
        <v>35.5</v>
      </c>
      <c r="E597" s="45"/>
      <c r="F597" s="302">
        <f t="shared" ref="F597:F660" si="19">D597*E597</f>
        <v>0</v>
      </c>
    </row>
    <row r="598" spans="1:8" s="570" customFormat="1">
      <c r="A598" s="284"/>
      <c r="B598" s="406" t="s">
        <v>1971</v>
      </c>
      <c r="C598" s="539" t="s">
        <v>26</v>
      </c>
      <c r="D598" s="287">
        <v>14.6</v>
      </c>
      <c r="E598" s="45"/>
      <c r="F598" s="302">
        <f t="shared" si="19"/>
        <v>0</v>
      </c>
    </row>
    <row r="599" spans="1:8" s="570" customFormat="1">
      <c r="A599" s="284"/>
      <c r="B599" s="406" t="s">
        <v>1978</v>
      </c>
      <c r="C599" s="539" t="s">
        <v>26</v>
      </c>
      <c r="D599" s="287">
        <f>D596+D598+D597</f>
        <v>102.1</v>
      </c>
      <c r="E599" s="45"/>
      <c r="F599" s="302">
        <f t="shared" si="19"/>
        <v>0</v>
      </c>
    </row>
    <row r="600" spans="1:8" s="571" customFormat="1">
      <c r="A600" s="540"/>
      <c r="B600" s="483"/>
      <c r="C600" s="544"/>
      <c r="D600" s="543"/>
      <c r="E600" s="352"/>
      <c r="F600" s="302">
        <f t="shared" si="19"/>
        <v>0</v>
      </c>
    </row>
    <row r="601" spans="1:8" s="570" customFormat="1">
      <c r="A601" s="572">
        <v>2</v>
      </c>
      <c r="B601" s="294" t="s">
        <v>1972</v>
      </c>
      <c r="C601" s="530"/>
      <c r="D601" s="287"/>
      <c r="E601" s="13"/>
      <c r="F601" s="302">
        <f t="shared" si="19"/>
        <v>0</v>
      </c>
      <c r="G601" s="278"/>
    </row>
    <row r="602" spans="1:8" s="570" customFormat="1" ht="102">
      <c r="A602" s="573"/>
      <c r="B602" s="406" t="s">
        <v>1991</v>
      </c>
      <c r="C602" s="530"/>
      <c r="D602" s="287"/>
      <c r="E602" s="13"/>
      <c r="F602" s="302">
        <f t="shared" si="19"/>
        <v>0</v>
      </c>
    </row>
    <row r="603" spans="1:8" s="570" customFormat="1">
      <c r="A603" s="284"/>
      <c r="B603" s="406" t="s">
        <v>128</v>
      </c>
      <c r="C603" s="539"/>
      <c r="D603" s="301"/>
      <c r="E603" s="45"/>
      <c r="F603" s="302">
        <f t="shared" si="19"/>
        <v>0</v>
      </c>
    </row>
    <row r="604" spans="1:8" s="570" customFormat="1">
      <c r="A604" s="284"/>
      <c r="B604" s="406" t="s">
        <v>1973</v>
      </c>
      <c r="C604" s="539" t="s">
        <v>26</v>
      </c>
      <c r="D604" s="301">
        <f>22.6+8.3+62.6</f>
        <v>93.5</v>
      </c>
      <c r="E604" s="45"/>
      <c r="F604" s="302">
        <f t="shared" si="19"/>
        <v>0</v>
      </c>
      <c r="H604" s="574"/>
    </row>
    <row r="605" spans="1:8" s="570" customFormat="1">
      <c r="A605" s="284"/>
      <c r="B605" s="406" t="s">
        <v>1975</v>
      </c>
      <c r="C605" s="539" t="s">
        <v>26</v>
      </c>
      <c r="D605" s="301">
        <f>9.2+75.7+78.9+14+23.2</f>
        <v>201</v>
      </c>
      <c r="E605" s="45"/>
      <c r="F605" s="302">
        <f t="shared" si="19"/>
        <v>0</v>
      </c>
    </row>
    <row r="606" spans="1:8" s="570" customFormat="1">
      <c r="A606" s="284"/>
      <c r="B606" s="406" t="s">
        <v>1976</v>
      </c>
      <c r="C606" s="539" t="s">
        <v>26</v>
      </c>
      <c r="D606" s="287">
        <f>36.6+27.9+29</f>
        <v>93.5</v>
      </c>
      <c r="E606" s="45"/>
      <c r="F606" s="302">
        <f t="shared" si="19"/>
        <v>0</v>
      </c>
    </row>
    <row r="607" spans="1:8" s="570" customFormat="1">
      <c r="A607" s="284"/>
      <c r="B607" s="406" t="s">
        <v>1977</v>
      </c>
      <c r="C607" s="539" t="s">
        <v>26</v>
      </c>
      <c r="D607" s="287">
        <v>44.9</v>
      </c>
      <c r="E607" s="45"/>
      <c r="F607" s="302">
        <f t="shared" si="19"/>
        <v>0</v>
      </c>
    </row>
    <row r="608" spans="1:8" s="570" customFormat="1">
      <c r="A608" s="284"/>
      <c r="B608" s="406" t="s">
        <v>1979</v>
      </c>
      <c r="C608" s="539" t="s">
        <v>26</v>
      </c>
      <c r="D608" s="287">
        <f>62.8+65.8</f>
        <v>128.6</v>
      </c>
      <c r="E608" s="45"/>
      <c r="F608" s="302">
        <f t="shared" si="19"/>
        <v>0</v>
      </c>
    </row>
    <row r="609" spans="1:8" s="570" customFormat="1">
      <c r="A609" s="284"/>
      <c r="B609" s="406" t="s">
        <v>1980</v>
      </c>
      <c r="C609" s="539" t="s">
        <v>26</v>
      </c>
      <c r="D609" s="287">
        <v>10.199999999999999</v>
      </c>
      <c r="E609" s="45"/>
      <c r="F609" s="302">
        <f t="shared" si="19"/>
        <v>0</v>
      </c>
    </row>
    <row r="610" spans="1:8" s="570" customFormat="1">
      <c r="A610" s="284"/>
      <c r="B610" s="406" t="s">
        <v>1981</v>
      </c>
      <c r="C610" s="539" t="s">
        <v>26</v>
      </c>
      <c r="D610" s="287">
        <f>SUM(D604:D609)</f>
        <v>571.70000000000005</v>
      </c>
      <c r="E610" s="45"/>
      <c r="F610" s="302">
        <f t="shared" si="19"/>
        <v>0</v>
      </c>
    </row>
    <row r="611" spans="1:8" s="570" customFormat="1">
      <c r="A611" s="284"/>
      <c r="B611" s="406"/>
      <c r="C611" s="539"/>
      <c r="D611" s="287"/>
      <c r="E611" s="45"/>
      <c r="F611" s="302">
        <f t="shared" si="19"/>
        <v>0</v>
      </c>
    </row>
    <row r="612" spans="1:8" s="571" customFormat="1">
      <c r="A612" s="572">
        <f>IF(B612&gt;0,MAX(A$593:A607)+1,"")</f>
        <v>3</v>
      </c>
      <c r="B612" s="294" t="s">
        <v>1452</v>
      </c>
      <c r="C612" s="542"/>
      <c r="D612" s="543"/>
      <c r="E612" s="655"/>
      <c r="F612" s="302">
        <f t="shared" si="19"/>
        <v>0</v>
      </c>
      <c r="G612" s="308"/>
      <c r="H612" s="308"/>
    </row>
    <row r="613" spans="1:8" s="571" customFormat="1" ht="89.25">
      <c r="A613" s="573"/>
      <c r="B613" s="406" t="s">
        <v>2004</v>
      </c>
      <c r="C613" s="530"/>
      <c r="D613" s="287"/>
      <c r="E613" s="655"/>
      <c r="F613" s="302">
        <f t="shared" si="19"/>
        <v>0</v>
      </c>
      <c r="H613" s="308"/>
    </row>
    <row r="614" spans="1:8" s="571" customFormat="1">
      <c r="A614" s="284"/>
      <c r="B614" s="406" t="s">
        <v>28</v>
      </c>
      <c r="C614" s="539" t="s">
        <v>27</v>
      </c>
      <c r="D614" s="301">
        <v>8.5</v>
      </c>
      <c r="E614" s="352"/>
      <c r="F614" s="302">
        <f t="shared" si="19"/>
        <v>0</v>
      </c>
      <c r="H614" s="308"/>
    </row>
    <row r="615" spans="1:8" s="571" customFormat="1">
      <c r="A615" s="540"/>
      <c r="B615" s="483"/>
      <c r="C615" s="539"/>
      <c r="D615" s="287"/>
      <c r="E615" s="352"/>
      <c r="F615" s="302">
        <f t="shared" si="19"/>
        <v>0</v>
      </c>
      <c r="H615" s="308"/>
    </row>
    <row r="616" spans="1:8" s="571" customFormat="1">
      <c r="A616" s="572">
        <f>IF(B616&gt;0,MAX(A$598:A615)+1,"")</f>
        <v>4</v>
      </c>
      <c r="B616" s="294" t="s">
        <v>1453</v>
      </c>
      <c r="C616" s="539"/>
      <c r="D616" s="287"/>
      <c r="E616" s="352"/>
      <c r="F616" s="302">
        <f t="shared" si="19"/>
        <v>0</v>
      </c>
      <c r="H616" s="308"/>
    </row>
    <row r="617" spans="1:8" s="571" customFormat="1" ht="63.75">
      <c r="A617" s="540"/>
      <c r="B617" s="406" t="s">
        <v>2003</v>
      </c>
      <c r="C617" s="539"/>
      <c r="D617" s="287"/>
      <c r="E617" s="352"/>
      <c r="F617" s="302">
        <f t="shared" si="19"/>
        <v>0</v>
      </c>
      <c r="H617" s="308"/>
    </row>
    <row r="618" spans="1:8" s="571" customFormat="1">
      <c r="A618" s="540"/>
      <c r="B618" s="406" t="s">
        <v>242</v>
      </c>
      <c r="C618" s="539" t="s">
        <v>26</v>
      </c>
      <c r="D618" s="287">
        <v>18.399999999999999</v>
      </c>
      <c r="E618" s="352"/>
      <c r="F618" s="302">
        <f t="shared" si="19"/>
        <v>0</v>
      </c>
      <c r="H618" s="308"/>
    </row>
    <row r="619" spans="1:8" s="571" customFormat="1">
      <c r="A619" s="540"/>
      <c r="B619" s="406"/>
      <c r="C619" s="539"/>
      <c r="D619" s="287"/>
      <c r="E619" s="352"/>
      <c r="F619" s="302">
        <f t="shared" si="19"/>
        <v>0</v>
      </c>
      <c r="H619" s="308"/>
    </row>
    <row r="620" spans="1:8" s="571" customFormat="1">
      <c r="A620" s="572">
        <f>IF(B620&gt;0,MAX(A$598:A619)+1,"")</f>
        <v>5</v>
      </c>
      <c r="B620" s="294" t="s">
        <v>2005</v>
      </c>
      <c r="C620" s="539"/>
      <c r="D620" s="287"/>
      <c r="E620" s="352"/>
      <c r="F620" s="302">
        <f t="shared" si="19"/>
        <v>0</v>
      </c>
      <c r="H620" s="308"/>
    </row>
    <row r="621" spans="1:8" s="571" customFormat="1" ht="63.75">
      <c r="A621" s="540"/>
      <c r="B621" s="406" t="s">
        <v>2006</v>
      </c>
      <c r="C621" s="539"/>
      <c r="D621" s="287"/>
      <c r="E621" s="352"/>
      <c r="F621" s="302">
        <f t="shared" si="19"/>
        <v>0</v>
      </c>
      <c r="H621" s="308"/>
    </row>
    <row r="622" spans="1:8" s="571" customFormat="1">
      <c r="A622" s="540"/>
      <c r="B622" s="406" t="s">
        <v>242</v>
      </c>
      <c r="C622" s="539" t="s">
        <v>26</v>
      </c>
      <c r="D622" s="287">
        <v>122</v>
      </c>
      <c r="E622" s="352"/>
      <c r="F622" s="302">
        <f t="shared" si="19"/>
        <v>0</v>
      </c>
      <c r="H622" s="308"/>
    </row>
    <row r="623" spans="1:8" s="571" customFormat="1">
      <c r="A623" s="540"/>
      <c r="B623" s="406"/>
      <c r="C623" s="539"/>
      <c r="D623" s="287"/>
      <c r="E623" s="352"/>
      <c r="F623" s="302">
        <f t="shared" si="19"/>
        <v>0</v>
      </c>
      <c r="H623" s="308"/>
    </row>
    <row r="624" spans="1:8" s="571" customFormat="1">
      <c r="A624" s="572">
        <f>IF(B624&gt;0,MAX(A$598:A623)+1,"")</f>
        <v>6</v>
      </c>
      <c r="B624" s="294" t="s">
        <v>2007</v>
      </c>
      <c r="C624" s="539"/>
      <c r="D624" s="287"/>
      <c r="E624" s="352"/>
      <c r="F624" s="302">
        <f t="shared" si="19"/>
        <v>0</v>
      </c>
      <c r="H624" s="308"/>
    </row>
    <row r="625" spans="1:8" s="571" customFormat="1" ht="63.75">
      <c r="A625" s="540"/>
      <c r="B625" s="406" t="s">
        <v>2008</v>
      </c>
      <c r="C625" s="539"/>
      <c r="D625" s="287"/>
      <c r="E625" s="352"/>
      <c r="F625" s="302">
        <f t="shared" si="19"/>
        <v>0</v>
      </c>
      <c r="H625" s="308"/>
    </row>
    <row r="626" spans="1:8" s="571" customFormat="1">
      <c r="A626" s="540"/>
      <c r="B626" s="406" t="s">
        <v>242</v>
      </c>
      <c r="C626" s="539" t="s">
        <v>26</v>
      </c>
      <c r="D626" s="287">
        <v>122</v>
      </c>
      <c r="E626" s="352"/>
      <c r="F626" s="302">
        <f t="shared" si="19"/>
        <v>0</v>
      </c>
      <c r="H626" s="308"/>
    </row>
    <row r="627" spans="1:8" s="571" customFormat="1">
      <c r="A627" s="540"/>
      <c r="B627" s="406"/>
      <c r="C627" s="539"/>
      <c r="D627" s="287"/>
      <c r="E627" s="352"/>
      <c r="F627" s="302">
        <f t="shared" si="19"/>
        <v>0</v>
      </c>
      <c r="H627" s="308"/>
    </row>
    <row r="628" spans="1:8" s="571" customFormat="1">
      <c r="A628" s="572">
        <f>IF(B628&gt;0,MAX(A$598:A625)+1,"")</f>
        <v>7</v>
      </c>
      <c r="B628" s="294" t="s">
        <v>1982</v>
      </c>
      <c r="C628" s="539"/>
      <c r="D628" s="287"/>
      <c r="E628" s="352"/>
      <c r="F628" s="302">
        <f t="shared" si="19"/>
        <v>0</v>
      </c>
      <c r="G628" s="324"/>
      <c r="H628" s="308"/>
    </row>
    <row r="629" spans="1:8" s="571" customFormat="1" ht="89.25">
      <c r="A629" s="540"/>
      <c r="B629" s="406" t="s">
        <v>2002</v>
      </c>
      <c r="C629" s="539"/>
      <c r="D629" s="287"/>
      <c r="E629" s="352"/>
      <c r="F629" s="302">
        <f t="shared" si="19"/>
        <v>0</v>
      </c>
      <c r="H629" s="308"/>
    </row>
    <row r="630" spans="1:8" s="571" customFormat="1">
      <c r="A630" s="540"/>
      <c r="B630" s="406" t="s">
        <v>128</v>
      </c>
      <c r="C630" s="539" t="s">
        <v>26</v>
      </c>
      <c r="D630" s="287">
        <v>42</v>
      </c>
      <c r="E630" s="352"/>
      <c r="F630" s="302">
        <f t="shared" si="19"/>
        <v>0</v>
      </c>
      <c r="H630" s="308"/>
    </row>
    <row r="631" spans="1:8" s="571" customFormat="1">
      <c r="A631" s="540"/>
      <c r="B631" s="406"/>
      <c r="C631" s="539"/>
      <c r="D631" s="287"/>
      <c r="E631" s="352"/>
      <c r="F631" s="302">
        <f t="shared" si="19"/>
        <v>0</v>
      </c>
      <c r="H631" s="308"/>
    </row>
    <row r="632" spans="1:8" s="571" customFormat="1">
      <c r="A632" s="572">
        <f>IF(B632&gt;0,MAX(A$598:A631)+1,"")</f>
        <v>8</v>
      </c>
      <c r="B632" s="474" t="s">
        <v>1983</v>
      </c>
      <c r="C632" s="539"/>
      <c r="D632" s="287"/>
      <c r="E632" s="352"/>
      <c r="F632" s="302">
        <f t="shared" si="19"/>
        <v>0</v>
      </c>
      <c r="H632" s="308"/>
    </row>
    <row r="633" spans="1:8" s="571" customFormat="1" ht="51">
      <c r="A633" s="540"/>
      <c r="B633" s="406" t="s">
        <v>2001</v>
      </c>
      <c r="C633" s="539"/>
      <c r="D633" s="287"/>
      <c r="E633" s="352"/>
      <c r="F633" s="302">
        <f t="shared" si="19"/>
        <v>0</v>
      </c>
      <c r="H633" s="308"/>
    </row>
    <row r="634" spans="1:8" s="571" customFormat="1">
      <c r="A634" s="540"/>
      <c r="B634" s="406" t="s">
        <v>128</v>
      </c>
      <c r="C634" s="539" t="s">
        <v>26</v>
      </c>
      <c r="D634" s="287">
        <v>35.6</v>
      </c>
      <c r="E634" s="352"/>
      <c r="F634" s="302">
        <f t="shared" si="19"/>
        <v>0</v>
      </c>
      <c r="H634" s="308"/>
    </row>
    <row r="635" spans="1:8" s="571" customFormat="1">
      <c r="A635" s="540"/>
      <c r="B635" s="406"/>
      <c r="C635" s="539"/>
      <c r="D635" s="287"/>
      <c r="E635" s="352"/>
      <c r="F635" s="302">
        <f t="shared" si="19"/>
        <v>0</v>
      </c>
      <c r="H635" s="308"/>
    </row>
    <row r="636" spans="1:8" s="571" customFormat="1">
      <c r="A636" s="572">
        <f>IF(B636&gt;0,MAX(A$598:A635)+1,"")</f>
        <v>9</v>
      </c>
      <c r="B636" s="474" t="s">
        <v>1984</v>
      </c>
      <c r="C636" s="539"/>
      <c r="D636" s="287"/>
      <c r="E636" s="352"/>
      <c r="F636" s="302">
        <f t="shared" si="19"/>
        <v>0</v>
      </c>
      <c r="H636" s="308"/>
    </row>
    <row r="637" spans="1:8" s="571" customFormat="1" ht="51">
      <c r="A637" s="540"/>
      <c r="B637" s="406" t="s">
        <v>2001</v>
      </c>
      <c r="C637" s="539"/>
      <c r="D637" s="287"/>
      <c r="E637" s="352"/>
      <c r="F637" s="302">
        <f t="shared" si="19"/>
        <v>0</v>
      </c>
      <c r="H637" s="308"/>
    </row>
    <row r="638" spans="1:8" s="571" customFormat="1">
      <c r="A638" s="540"/>
      <c r="B638" s="406" t="s">
        <v>128</v>
      </c>
      <c r="C638" s="539" t="s">
        <v>26</v>
      </c>
      <c r="D638" s="287">
        <v>41.8</v>
      </c>
      <c r="E638" s="352"/>
      <c r="F638" s="302">
        <f t="shared" si="19"/>
        <v>0</v>
      </c>
      <c r="H638" s="308"/>
    </row>
    <row r="639" spans="1:8" s="570" customFormat="1">
      <c r="A639" s="284"/>
      <c r="B639" s="406"/>
      <c r="C639" s="539"/>
      <c r="D639" s="287"/>
      <c r="E639" s="45"/>
      <c r="F639" s="302">
        <f t="shared" si="19"/>
        <v>0</v>
      </c>
      <c r="H639" s="278"/>
    </row>
    <row r="640" spans="1:8" s="571" customFormat="1">
      <c r="A640" s="572">
        <f>IF(B640&gt;0,MAX(A$598:A639)+1,"")</f>
        <v>10</v>
      </c>
      <c r="B640" s="474" t="s">
        <v>5512</v>
      </c>
      <c r="C640" s="539"/>
      <c r="D640" s="287"/>
      <c r="E640" s="352"/>
      <c r="F640" s="302">
        <f t="shared" si="19"/>
        <v>0</v>
      </c>
      <c r="H640" s="308"/>
    </row>
    <row r="641" spans="1:8" s="571" customFormat="1" ht="63.75">
      <c r="A641" s="540"/>
      <c r="B641" s="406" t="s">
        <v>2000</v>
      </c>
      <c r="C641" s="539"/>
      <c r="D641" s="287"/>
      <c r="E641" s="352"/>
      <c r="F641" s="302">
        <f t="shared" si="19"/>
        <v>0</v>
      </c>
      <c r="H641" s="308"/>
    </row>
    <row r="642" spans="1:8" s="571" customFormat="1">
      <c r="A642" s="540"/>
      <c r="B642" s="406" t="s">
        <v>128</v>
      </c>
      <c r="C642" s="539" t="s">
        <v>26</v>
      </c>
      <c r="D642" s="287">
        <v>52</v>
      </c>
      <c r="E642" s="352"/>
      <c r="F642" s="302">
        <f t="shared" si="19"/>
        <v>0</v>
      </c>
      <c r="H642" s="308"/>
    </row>
    <row r="643" spans="1:8" s="571" customFormat="1">
      <c r="A643" s="540"/>
      <c r="B643" s="406"/>
      <c r="C643" s="539"/>
      <c r="D643" s="287"/>
      <c r="E643" s="352"/>
      <c r="F643" s="302">
        <f t="shared" si="19"/>
        <v>0</v>
      </c>
      <c r="H643" s="308"/>
    </row>
    <row r="644" spans="1:8" s="571" customFormat="1">
      <c r="A644" s="572">
        <f>IF(B644&gt;0,MAX(A$598:A643)+1,"")</f>
        <v>11</v>
      </c>
      <c r="B644" s="474" t="s">
        <v>5513</v>
      </c>
      <c r="C644" s="539"/>
      <c r="D644" s="287"/>
      <c r="E644" s="352"/>
      <c r="F644" s="302">
        <f t="shared" si="19"/>
        <v>0</v>
      </c>
      <c r="H644" s="308"/>
    </row>
    <row r="645" spans="1:8" s="571" customFormat="1" ht="63.75">
      <c r="A645" s="540"/>
      <c r="B645" s="406" t="s">
        <v>1999</v>
      </c>
      <c r="C645" s="539"/>
      <c r="D645" s="287"/>
      <c r="E645" s="352"/>
      <c r="F645" s="302">
        <f t="shared" si="19"/>
        <v>0</v>
      </c>
      <c r="H645" s="308"/>
    </row>
    <row r="646" spans="1:8" s="571" customFormat="1">
      <c r="A646" s="540"/>
      <c r="B646" s="406" t="s">
        <v>128</v>
      </c>
      <c r="C646" s="539"/>
      <c r="D646" s="287"/>
      <c r="E646" s="352"/>
      <c r="F646" s="302">
        <f t="shared" si="19"/>
        <v>0</v>
      </c>
      <c r="H646" s="308"/>
    </row>
    <row r="647" spans="1:8" s="571" customFormat="1">
      <c r="A647" s="540"/>
      <c r="B647" s="406" t="s">
        <v>1987</v>
      </c>
      <c r="C647" s="539" t="s">
        <v>26</v>
      </c>
      <c r="D647" s="287">
        <f>30.4+6.5</f>
        <v>36.9</v>
      </c>
      <c r="E647" s="352"/>
      <c r="F647" s="302">
        <f t="shared" si="19"/>
        <v>0</v>
      </c>
      <c r="H647" s="308"/>
    </row>
    <row r="648" spans="1:8" s="571" customFormat="1">
      <c r="A648" s="540"/>
      <c r="B648" s="406" t="s">
        <v>1985</v>
      </c>
      <c r="C648" s="539" t="s">
        <v>26</v>
      </c>
      <c r="D648" s="287">
        <f t="shared" ref="D648:D649" si="20">30.4+6.5</f>
        <v>36.9</v>
      </c>
      <c r="E648" s="352"/>
      <c r="F648" s="302">
        <f t="shared" si="19"/>
        <v>0</v>
      </c>
      <c r="H648" s="308"/>
    </row>
    <row r="649" spans="1:8" s="571" customFormat="1">
      <c r="A649" s="540"/>
      <c r="B649" s="406" t="s">
        <v>1986</v>
      </c>
      <c r="C649" s="539" t="s">
        <v>26</v>
      </c>
      <c r="D649" s="287">
        <f t="shared" si="20"/>
        <v>36.9</v>
      </c>
      <c r="E649" s="352"/>
      <c r="F649" s="302">
        <f t="shared" si="19"/>
        <v>0</v>
      </c>
      <c r="H649" s="308"/>
    </row>
    <row r="650" spans="1:8" s="571" customFormat="1">
      <c r="A650" s="540"/>
      <c r="B650" s="406"/>
      <c r="C650" s="539"/>
      <c r="D650" s="287"/>
      <c r="E650" s="352"/>
      <c r="F650" s="302">
        <f t="shared" si="19"/>
        <v>0</v>
      </c>
      <c r="H650" s="308"/>
    </row>
    <row r="651" spans="1:8" s="571" customFormat="1">
      <c r="A651" s="572">
        <f>IF(B651&gt;0,MAX(A$598:A650)+1,"")</f>
        <v>12</v>
      </c>
      <c r="B651" s="474" t="s">
        <v>5514</v>
      </c>
      <c r="C651" s="539"/>
      <c r="D651" s="287"/>
      <c r="E651" s="352"/>
      <c r="F651" s="302">
        <f t="shared" si="19"/>
        <v>0</v>
      </c>
      <c r="H651" s="308"/>
    </row>
    <row r="652" spans="1:8" s="571" customFormat="1" ht="51">
      <c r="A652" s="540"/>
      <c r="B652" s="406" t="s">
        <v>1998</v>
      </c>
      <c r="C652" s="539"/>
      <c r="D652" s="287"/>
      <c r="E652" s="352"/>
      <c r="F652" s="302">
        <f t="shared" si="19"/>
        <v>0</v>
      </c>
      <c r="H652" s="308"/>
    </row>
    <row r="653" spans="1:8" s="571" customFormat="1">
      <c r="A653" s="540"/>
      <c r="B653" s="406" t="s">
        <v>128</v>
      </c>
      <c r="C653" s="539" t="s">
        <v>26</v>
      </c>
      <c r="D653" s="287">
        <f>30+17.3</f>
        <v>47.3</v>
      </c>
      <c r="E653" s="352"/>
      <c r="F653" s="302">
        <f t="shared" si="19"/>
        <v>0</v>
      </c>
      <c r="H653" s="308"/>
    </row>
    <row r="654" spans="1:8" s="571" customFormat="1">
      <c r="A654" s="540"/>
      <c r="B654" s="406"/>
      <c r="C654" s="539"/>
      <c r="D654" s="287"/>
      <c r="E654" s="352"/>
      <c r="F654" s="302">
        <f t="shared" si="19"/>
        <v>0</v>
      </c>
      <c r="H654" s="308"/>
    </row>
    <row r="655" spans="1:8" s="571" customFormat="1">
      <c r="A655" s="572">
        <f>IF(B655&gt;0,MAX(A$598:A654)+1,"")</f>
        <v>13</v>
      </c>
      <c r="B655" s="474" t="s">
        <v>1988</v>
      </c>
      <c r="C655" s="539"/>
      <c r="D655" s="287"/>
      <c r="E655" s="352"/>
      <c r="F655" s="302">
        <f t="shared" si="19"/>
        <v>0</v>
      </c>
      <c r="H655" s="308"/>
    </row>
    <row r="656" spans="1:8" s="571" customFormat="1" ht="38.25">
      <c r="A656" s="540"/>
      <c r="B656" s="406" t="s">
        <v>1997</v>
      </c>
      <c r="C656" s="539"/>
      <c r="D656" s="287"/>
      <c r="E656" s="352"/>
      <c r="F656" s="302">
        <f t="shared" si="19"/>
        <v>0</v>
      </c>
      <c r="H656" s="308"/>
    </row>
    <row r="657" spans="1:8" s="571" customFormat="1">
      <c r="A657" s="540"/>
      <c r="B657" s="406" t="s">
        <v>128</v>
      </c>
      <c r="C657" s="539" t="s">
        <v>26</v>
      </c>
      <c r="D657" s="287">
        <f>D642+D647+D653</f>
        <v>136.19999999999999</v>
      </c>
      <c r="E657" s="352"/>
      <c r="F657" s="302">
        <f t="shared" si="19"/>
        <v>0</v>
      </c>
      <c r="H657" s="308"/>
    </row>
    <row r="658" spans="1:8" s="571" customFormat="1">
      <c r="A658" s="540"/>
      <c r="B658" s="406"/>
      <c r="C658" s="539"/>
      <c r="D658" s="287"/>
      <c r="E658" s="352"/>
      <c r="F658" s="302">
        <f t="shared" si="19"/>
        <v>0</v>
      </c>
      <c r="H658" s="308"/>
    </row>
    <row r="659" spans="1:8" s="571" customFormat="1">
      <c r="A659" s="572">
        <f>IF(B659&gt;0,MAX(A$598:A658)+1,"")</f>
        <v>14</v>
      </c>
      <c r="B659" s="474" t="s">
        <v>1992</v>
      </c>
      <c r="C659" s="539"/>
      <c r="D659" s="287"/>
      <c r="E659" s="352"/>
      <c r="F659" s="302">
        <f t="shared" si="19"/>
        <v>0</v>
      </c>
      <c r="H659" s="308"/>
    </row>
    <row r="660" spans="1:8" s="571" customFormat="1" ht="38.25">
      <c r="A660" s="540"/>
      <c r="B660" s="406" t="s">
        <v>1996</v>
      </c>
      <c r="C660" s="539"/>
      <c r="D660" s="287"/>
      <c r="E660" s="352"/>
      <c r="F660" s="302">
        <f t="shared" si="19"/>
        <v>0</v>
      </c>
      <c r="H660" s="308"/>
    </row>
    <row r="661" spans="1:8" s="571" customFormat="1">
      <c r="A661" s="540"/>
      <c r="B661" s="406" t="s">
        <v>128</v>
      </c>
      <c r="C661" s="539" t="s">
        <v>26</v>
      </c>
      <c r="D661" s="287">
        <f>D642+D647+D653</f>
        <v>136.19999999999999</v>
      </c>
      <c r="E661" s="352"/>
      <c r="F661" s="302">
        <f t="shared" ref="F661:F669" si="21">D661*E661</f>
        <v>0</v>
      </c>
      <c r="H661" s="308"/>
    </row>
    <row r="662" spans="1:8" s="571" customFormat="1">
      <c r="A662" s="540"/>
      <c r="B662" s="406"/>
      <c r="C662" s="539"/>
      <c r="D662" s="287"/>
      <c r="E662" s="352"/>
      <c r="F662" s="302">
        <f t="shared" si="21"/>
        <v>0</v>
      </c>
      <c r="H662" s="308"/>
    </row>
    <row r="663" spans="1:8" s="571" customFormat="1">
      <c r="A663" s="572">
        <f>IF(B663&gt;0,MAX(A$598:A662)+1,"")</f>
        <v>15</v>
      </c>
      <c r="B663" s="474" t="s">
        <v>1993</v>
      </c>
      <c r="C663" s="539"/>
      <c r="D663" s="287"/>
      <c r="E663" s="352"/>
      <c r="F663" s="302">
        <f t="shared" si="21"/>
        <v>0</v>
      </c>
      <c r="H663" s="308"/>
    </row>
    <row r="664" spans="1:8" s="571" customFormat="1" ht="38.25">
      <c r="A664" s="540"/>
      <c r="B664" s="406" t="s">
        <v>1995</v>
      </c>
      <c r="C664" s="539"/>
      <c r="D664" s="287"/>
      <c r="E664" s="352"/>
      <c r="F664" s="302">
        <f t="shared" si="21"/>
        <v>0</v>
      </c>
      <c r="H664" s="308"/>
    </row>
    <row r="665" spans="1:8" s="571" customFormat="1">
      <c r="A665" s="540"/>
      <c r="B665" s="406" t="s">
        <v>128</v>
      </c>
      <c r="C665" s="539" t="s">
        <v>26</v>
      </c>
      <c r="D665" s="287">
        <f>D646+D651+D657</f>
        <v>136.19999999999999</v>
      </c>
      <c r="E665" s="352"/>
      <c r="F665" s="302">
        <f t="shared" si="21"/>
        <v>0</v>
      </c>
      <c r="H665" s="308"/>
    </row>
    <row r="666" spans="1:8">
      <c r="F666" s="302">
        <f t="shared" si="21"/>
        <v>0</v>
      </c>
    </row>
    <row r="667" spans="1:8" s="571" customFormat="1">
      <c r="A667" s="572">
        <f>IF(B667&gt;0,MAX(A$598:A666)+1,"")</f>
        <v>16</v>
      </c>
      <c r="B667" s="474" t="s">
        <v>1994</v>
      </c>
      <c r="C667" s="539"/>
      <c r="D667" s="287"/>
      <c r="E667" s="352"/>
      <c r="F667" s="302">
        <f t="shared" si="21"/>
        <v>0</v>
      </c>
      <c r="H667" s="308"/>
    </row>
    <row r="668" spans="1:8" s="571" customFormat="1" ht="63.75">
      <c r="A668" s="540"/>
      <c r="B668" s="406" t="s">
        <v>2118</v>
      </c>
      <c r="C668" s="539"/>
      <c r="D668" s="287"/>
      <c r="E668" s="352"/>
      <c r="F668" s="302">
        <f t="shared" si="21"/>
        <v>0</v>
      </c>
      <c r="H668" s="308"/>
    </row>
    <row r="669" spans="1:8" s="571" customFormat="1">
      <c r="A669" s="540"/>
      <c r="B669" s="406" t="s">
        <v>242</v>
      </c>
      <c r="C669" s="539" t="s">
        <v>26</v>
      </c>
      <c r="D669" s="287">
        <v>110</v>
      </c>
      <c r="E669" s="352"/>
      <c r="F669" s="302">
        <f t="shared" si="21"/>
        <v>0</v>
      </c>
      <c r="H669" s="308"/>
    </row>
    <row r="670" spans="1:8" s="571" customFormat="1">
      <c r="A670" s="540"/>
      <c r="B670" s="406"/>
      <c r="C670" s="539"/>
      <c r="D670" s="287"/>
      <c r="E670" s="352"/>
      <c r="F670" s="302"/>
      <c r="H670" s="308"/>
    </row>
    <row r="671" spans="1:8" s="570" customFormat="1">
      <c r="A671" s="289" t="s">
        <v>115</v>
      </c>
      <c r="B671" s="290" t="s">
        <v>112</v>
      </c>
      <c r="C671" s="534"/>
      <c r="D671" s="535"/>
      <c r="E671" s="654"/>
      <c r="F671" s="536">
        <f>SUM(F594:F669)</f>
        <v>0</v>
      </c>
      <c r="H671" s="278"/>
    </row>
    <row r="672" spans="1:8" s="570" customFormat="1">
      <c r="A672" s="284"/>
      <c r="B672" s="294"/>
      <c r="C672" s="530"/>
      <c r="D672" s="287"/>
      <c r="E672" s="13"/>
      <c r="F672" s="288"/>
      <c r="H672" s="278"/>
    </row>
    <row r="673" spans="1:6" s="570" customFormat="1">
      <c r="A673" s="289" t="s">
        <v>113</v>
      </c>
      <c r="B673" s="290" t="s">
        <v>127</v>
      </c>
      <c r="C673" s="534"/>
      <c r="D673" s="535"/>
      <c r="E673" s="654"/>
      <c r="F673" s="536"/>
    </row>
    <row r="674" spans="1:6" s="570" customFormat="1">
      <c r="A674" s="284"/>
      <c r="B674" s="294"/>
      <c r="C674" s="530"/>
      <c r="D674" s="287"/>
      <c r="E674" s="13"/>
      <c r="F674" s="288"/>
    </row>
    <row r="675" spans="1:6" s="571" customFormat="1">
      <c r="A675" s="576" t="s">
        <v>977</v>
      </c>
      <c r="B675" s="294" t="s">
        <v>975</v>
      </c>
      <c r="C675" s="542"/>
      <c r="D675" s="543"/>
      <c r="E675" s="655"/>
      <c r="F675" s="566"/>
    </row>
    <row r="676" spans="1:6" s="571" customFormat="1" ht="369.75">
      <c r="A676" s="540"/>
      <c r="B676" s="434" t="s">
        <v>598</v>
      </c>
      <c r="C676" s="542"/>
      <c r="D676" s="543"/>
      <c r="E676" s="655"/>
      <c r="F676" s="566"/>
    </row>
    <row r="677" spans="1:6" s="571" customFormat="1">
      <c r="A677" s="577" t="s">
        <v>978</v>
      </c>
      <c r="B677" s="567" t="s">
        <v>979</v>
      </c>
      <c r="C677" s="542"/>
      <c r="D677" s="543"/>
      <c r="E677" s="655"/>
      <c r="F677" s="566"/>
    </row>
    <row r="678" spans="1:6" s="571" customFormat="1" ht="276.75" customHeight="1">
      <c r="A678" s="540"/>
      <c r="B678" s="434" t="s">
        <v>599</v>
      </c>
      <c r="C678" s="542"/>
      <c r="D678" s="543"/>
      <c r="E678" s="655"/>
      <c r="F678" s="566"/>
    </row>
    <row r="679" spans="1:6" s="571" customFormat="1">
      <c r="A679" s="540"/>
      <c r="B679" s="541"/>
      <c r="C679" s="542"/>
      <c r="D679" s="543"/>
      <c r="E679" s="655"/>
      <c r="F679" s="566"/>
    </row>
    <row r="680" spans="1:6" s="580" customFormat="1" ht="12.75">
      <c r="A680" s="577" t="s">
        <v>604</v>
      </c>
      <c r="B680" s="567" t="s">
        <v>600</v>
      </c>
      <c r="C680" s="578"/>
      <c r="D680" s="432"/>
      <c r="E680" s="518"/>
      <c r="F680" s="579"/>
    </row>
    <row r="681" spans="1:6" s="571" customFormat="1" ht="292.5" customHeight="1">
      <c r="A681" s="540"/>
      <c r="B681" s="434" t="s">
        <v>601</v>
      </c>
      <c r="C681" s="578"/>
      <c r="D681" s="432"/>
      <c r="E681" s="518"/>
      <c r="F681" s="566"/>
    </row>
    <row r="682" spans="1:6" s="571" customFormat="1" ht="153">
      <c r="A682" s="540"/>
      <c r="B682" s="434" t="s">
        <v>920</v>
      </c>
      <c r="C682" s="578"/>
      <c r="D682" s="432"/>
      <c r="E682" s="518"/>
      <c r="F682" s="566"/>
    </row>
    <row r="683" spans="1:6" s="571" customFormat="1" ht="140.25">
      <c r="A683" s="540"/>
      <c r="B683" s="434" t="s">
        <v>921</v>
      </c>
      <c r="C683" s="578"/>
      <c r="D683" s="432"/>
      <c r="E683" s="518"/>
      <c r="F683" s="566"/>
    </row>
    <row r="684" spans="1:6" s="571" customFormat="1">
      <c r="A684" s="540"/>
      <c r="B684" s="434"/>
      <c r="C684" s="578"/>
      <c r="D684" s="432"/>
      <c r="E684" s="518"/>
      <c r="F684" s="566"/>
    </row>
    <row r="685" spans="1:6" s="580" customFormat="1" ht="12.75">
      <c r="A685" s="577" t="s">
        <v>603</v>
      </c>
      <c r="B685" s="567" t="s">
        <v>602</v>
      </c>
      <c r="C685" s="578"/>
      <c r="D685" s="432"/>
      <c r="E685" s="518"/>
      <c r="F685" s="581"/>
    </row>
    <row r="686" spans="1:6" s="571" customFormat="1" ht="255">
      <c r="A686" s="540"/>
      <c r="B686" s="434" t="s">
        <v>922</v>
      </c>
      <c r="C686" s="578"/>
      <c r="D686" s="432"/>
      <c r="E686" s="518"/>
      <c r="F686" s="566"/>
    </row>
    <row r="687" spans="1:6" s="571" customFormat="1" ht="127.5">
      <c r="A687" s="540"/>
      <c r="B687" s="434" t="s">
        <v>605</v>
      </c>
      <c r="C687" s="578"/>
      <c r="D687" s="432"/>
      <c r="E687" s="518"/>
      <c r="F687" s="566"/>
    </row>
    <row r="688" spans="1:6" s="571" customFormat="1" ht="102">
      <c r="A688" s="540"/>
      <c r="B688" s="434" t="s">
        <v>923</v>
      </c>
      <c r="C688" s="578"/>
      <c r="D688" s="432"/>
      <c r="E688" s="518"/>
      <c r="F688" s="566"/>
    </row>
    <row r="689" spans="1:6" s="571" customFormat="1">
      <c r="A689" s="540"/>
      <c r="B689" s="434"/>
      <c r="C689" s="578"/>
      <c r="D689" s="432"/>
      <c r="E689" s="518"/>
      <c r="F689" s="566"/>
    </row>
    <row r="690" spans="1:6" s="585" customFormat="1" ht="12.75">
      <c r="A690" s="577" t="s">
        <v>607</v>
      </c>
      <c r="B690" s="567" t="s">
        <v>606</v>
      </c>
      <c r="C690" s="582"/>
      <c r="D690" s="583"/>
      <c r="E690" s="657"/>
      <c r="F690" s="584"/>
    </row>
    <row r="691" spans="1:6" s="571" customFormat="1" ht="331.5">
      <c r="A691" s="540"/>
      <c r="B691" s="434" t="s">
        <v>976</v>
      </c>
      <c r="C691" s="542"/>
      <c r="D691" s="543"/>
      <c r="E691" s="655"/>
      <c r="F691" s="566"/>
    </row>
    <row r="692" spans="1:6" s="571" customFormat="1">
      <c r="A692" s="540"/>
      <c r="B692" s="434"/>
      <c r="C692" s="542"/>
      <c r="D692" s="543"/>
      <c r="E692" s="655"/>
      <c r="F692" s="566"/>
    </row>
    <row r="693" spans="1:6" s="580" customFormat="1" ht="12.75">
      <c r="A693" s="577" t="s">
        <v>980</v>
      </c>
      <c r="B693" s="586" t="s">
        <v>608</v>
      </c>
      <c r="C693" s="586"/>
      <c r="D693" s="587"/>
      <c r="E693" s="658"/>
      <c r="F693" s="579"/>
    </row>
    <row r="694" spans="1:6" s="571" customFormat="1" ht="293.25">
      <c r="A694" s="284"/>
      <c r="B694" s="434" t="s">
        <v>609</v>
      </c>
      <c r="C694" s="542"/>
      <c r="D694" s="543"/>
      <c r="E694" s="655"/>
      <c r="F694" s="566"/>
    </row>
    <row r="695" spans="1:6" s="571" customFormat="1">
      <c r="A695" s="284"/>
      <c r="B695" s="434"/>
      <c r="C695" s="542"/>
      <c r="D695" s="543"/>
      <c r="E695" s="655"/>
      <c r="F695" s="566"/>
    </row>
    <row r="696" spans="1:6" s="591" customFormat="1" ht="12.75">
      <c r="A696" s="577" t="s">
        <v>981</v>
      </c>
      <c r="B696" s="588" t="s">
        <v>610</v>
      </c>
      <c r="C696" s="589"/>
      <c r="D696" s="587"/>
      <c r="E696" s="659"/>
      <c r="F696" s="590"/>
    </row>
    <row r="697" spans="1:6" s="571" customFormat="1" ht="51">
      <c r="A697" s="284"/>
      <c r="B697" s="434" t="s">
        <v>612</v>
      </c>
      <c r="C697" s="592"/>
      <c r="D697" s="593"/>
      <c r="E697" s="18"/>
      <c r="F697" s="594"/>
    </row>
    <row r="698" spans="1:6" s="571" customFormat="1" ht="63.75">
      <c r="A698" s="284"/>
      <c r="B698" s="434" t="s">
        <v>924</v>
      </c>
      <c r="C698" s="592"/>
      <c r="D698" s="593"/>
      <c r="E698" s="18"/>
      <c r="F698" s="594"/>
    </row>
    <row r="699" spans="1:6" s="571" customFormat="1">
      <c r="A699" s="284"/>
      <c r="B699" s="434"/>
      <c r="C699" s="542"/>
      <c r="D699" s="543"/>
      <c r="E699" s="655"/>
      <c r="F699" s="566"/>
    </row>
    <row r="700" spans="1:6" s="571" customFormat="1">
      <c r="A700" s="576" t="s">
        <v>982</v>
      </c>
      <c r="B700" s="595" t="s">
        <v>613</v>
      </c>
      <c r="C700" s="542"/>
      <c r="D700" s="543"/>
      <c r="E700" s="655"/>
      <c r="F700" s="566"/>
    </row>
    <row r="701" spans="1:6" s="571" customFormat="1" ht="143.25" customHeight="1">
      <c r="A701" s="284"/>
      <c r="B701" s="434" t="s">
        <v>614</v>
      </c>
      <c r="C701" s="542"/>
      <c r="D701" s="543"/>
      <c r="E701" s="655"/>
      <c r="F701" s="566"/>
    </row>
    <row r="702" spans="1:6" s="571" customFormat="1" ht="63.75" customHeight="1">
      <c r="A702" s="540"/>
      <c r="B702" s="434" t="s">
        <v>615</v>
      </c>
      <c r="C702" s="578"/>
      <c r="D702" s="432"/>
      <c r="E702" s="518"/>
      <c r="F702" s="581"/>
    </row>
    <row r="703" spans="1:6" s="571" customFormat="1" ht="51">
      <c r="A703" s="540"/>
      <c r="B703" s="434" t="s">
        <v>616</v>
      </c>
      <c r="C703" s="542"/>
      <c r="D703" s="543"/>
      <c r="E703" s="655"/>
      <c r="F703" s="566"/>
    </row>
    <row r="704" spans="1:6" s="571" customFormat="1" ht="78.75" customHeight="1">
      <c r="A704" s="540"/>
      <c r="B704" s="434" t="s">
        <v>925</v>
      </c>
      <c r="C704" s="542"/>
      <c r="D704" s="543"/>
      <c r="E704" s="655"/>
      <c r="F704" s="566"/>
    </row>
    <row r="705" spans="1:6" s="571" customFormat="1">
      <c r="A705" s="540"/>
      <c r="B705" s="434"/>
      <c r="C705" s="542"/>
      <c r="D705" s="543"/>
      <c r="E705" s="655"/>
      <c r="F705" s="566"/>
    </row>
    <row r="706" spans="1:6" s="571" customFormat="1">
      <c r="A706" s="540"/>
      <c r="B706" s="294" t="s">
        <v>983</v>
      </c>
      <c r="C706" s="542"/>
      <c r="D706" s="543"/>
      <c r="E706" s="655"/>
      <c r="F706" s="566"/>
    </row>
    <row r="707" spans="1:6" s="571" customFormat="1">
      <c r="A707" s="540"/>
      <c r="B707" s="434"/>
      <c r="C707" s="542"/>
      <c r="D707" s="543"/>
      <c r="E707" s="655"/>
      <c r="F707" s="566"/>
    </row>
    <row r="708" spans="1:6" s="571" customFormat="1" ht="30">
      <c r="A708" s="573">
        <v>1</v>
      </c>
      <c r="B708" s="294" t="s">
        <v>617</v>
      </c>
      <c r="C708" s="542"/>
      <c r="D708" s="543"/>
      <c r="E708" s="655"/>
      <c r="F708" s="566"/>
    </row>
    <row r="709" spans="1:6" s="571" customFormat="1" ht="111.75" customHeight="1">
      <c r="A709" s="540"/>
      <c r="B709" s="434" t="s">
        <v>624</v>
      </c>
      <c r="C709" s="542"/>
      <c r="D709" s="543"/>
      <c r="E709" s="655"/>
      <c r="F709" s="566"/>
    </row>
    <row r="710" spans="1:6" s="571" customFormat="1" ht="25.5" customHeight="1">
      <c r="A710" s="540"/>
      <c r="B710" s="434" t="s">
        <v>618</v>
      </c>
      <c r="C710" s="542"/>
      <c r="D710" s="543"/>
      <c r="E710" s="655"/>
      <c r="F710" s="566"/>
    </row>
    <row r="711" spans="1:6" s="571" customFormat="1" ht="119.25" customHeight="1">
      <c r="A711" s="540"/>
      <c r="B711" s="434" t="s">
        <v>984</v>
      </c>
      <c r="C711" s="542"/>
      <c r="D711" s="543"/>
      <c r="E711" s="655"/>
      <c r="F711" s="566"/>
    </row>
    <row r="712" spans="1:6" s="571" customFormat="1" ht="30" customHeight="1">
      <c r="A712" s="540"/>
      <c r="B712" s="434" t="s">
        <v>619</v>
      </c>
      <c r="C712" s="542"/>
      <c r="D712" s="543"/>
      <c r="E712" s="655"/>
      <c r="F712" s="566"/>
    </row>
    <row r="713" spans="1:6" s="571" customFormat="1">
      <c r="A713" s="540"/>
      <c r="B713" s="434" t="s">
        <v>642</v>
      </c>
      <c r="C713" s="542"/>
      <c r="D713" s="543"/>
      <c r="E713" s="655"/>
      <c r="F713" s="566"/>
    </row>
    <row r="714" spans="1:6" s="571" customFormat="1">
      <c r="A714" s="540"/>
      <c r="B714" s="434" t="s">
        <v>621</v>
      </c>
      <c r="C714" s="542"/>
      <c r="D714" s="543"/>
      <c r="E714" s="655"/>
      <c r="F714" s="566"/>
    </row>
    <row r="715" spans="1:6" s="571" customFormat="1">
      <c r="A715" s="540"/>
      <c r="B715" s="434" t="s">
        <v>254</v>
      </c>
      <c r="C715" s="542"/>
      <c r="D715" s="543"/>
      <c r="E715" s="655"/>
      <c r="F715" s="566"/>
    </row>
    <row r="716" spans="1:6" s="571" customFormat="1" ht="38.25">
      <c r="A716" s="540"/>
      <c r="B716" s="434" t="s">
        <v>926</v>
      </c>
      <c r="C716" s="530" t="s">
        <v>34</v>
      </c>
      <c r="D716" s="287">
        <v>1</v>
      </c>
      <c r="E716" s="13"/>
      <c r="F716" s="288">
        <f>D716*E716</f>
        <v>0</v>
      </c>
    </row>
    <row r="717" spans="1:6" s="571" customFormat="1" ht="38.25">
      <c r="A717" s="540"/>
      <c r="B717" s="434" t="s">
        <v>927</v>
      </c>
      <c r="C717" s="530" t="s">
        <v>34</v>
      </c>
      <c r="D717" s="287">
        <v>1</v>
      </c>
      <c r="E717" s="655"/>
      <c r="F717" s="288">
        <f t="shared" ref="F717:F780" si="22">D717*E717</f>
        <v>0</v>
      </c>
    </row>
    <row r="718" spans="1:6" s="571" customFormat="1" ht="38.25">
      <c r="A718" s="540"/>
      <c r="B718" s="434" t="s">
        <v>928</v>
      </c>
      <c r="C718" s="530" t="s">
        <v>34</v>
      </c>
      <c r="D718" s="287">
        <v>1</v>
      </c>
      <c r="E718" s="655"/>
      <c r="F718" s="288">
        <f t="shared" si="22"/>
        <v>0</v>
      </c>
    </row>
    <row r="719" spans="1:6" s="570" customFormat="1" ht="38.25">
      <c r="A719" s="284"/>
      <c r="B719" s="434" t="s">
        <v>929</v>
      </c>
      <c r="C719" s="530" t="s">
        <v>34</v>
      </c>
      <c r="D719" s="287">
        <v>1</v>
      </c>
      <c r="E719" s="13"/>
      <c r="F719" s="288">
        <f t="shared" si="22"/>
        <v>0</v>
      </c>
    </row>
    <row r="720" spans="1:6" s="570" customFormat="1" ht="38.25">
      <c r="A720" s="284"/>
      <c r="B720" s="434" t="s">
        <v>930</v>
      </c>
      <c r="C720" s="530" t="s">
        <v>34</v>
      </c>
      <c r="D720" s="287">
        <v>1</v>
      </c>
      <c r="E720" s="13"/>
      <c r="F720" s="288">
        <f t="shared" si="22"/>
        <v>0</v>
      </c>
    </row>
    <row r="721" spans="1:7" s="571" customFormat="1">
      <c r="A721" s="540"/>
      <c r="B721" s="553"/>
      <c r="C721" s="542"/>
      <c r="D721" s="543"/>
      <c r="E721" s="655"/>
      <c r="F721" s="288">
        <f t="shared" si="22"/>
        <v>0</v>
      </c>
    </row>
    <row r="722" spans="1:7" s="571" customFormat="1" ht="30">
      <c r="A722" s="573">
        <f>IF(B722&gt;0,MAX(A$707:A721)+1,"")</f>
        <v>2</v>
      </c>
      <c r="B722" s="294" t="s">
        <v>620</v>
      </c>
      <c r="C722" s="542"/>
      <c r="D722" s="543"/>
      <c r="E722" s="655"/>
      <c r="F722" s="288">
        <f t="shared" si="22"/>
        <v>0</v>
      </c>
    </row>
    <row r="723" spans="1:7" s="571" customFormat="1" ht="146.25" customHeight="1">
      <c r="A723" s="540"/>
      <c r="B723" s="434" t="s">
        <v>629</v>
      </c>
      <c r="C723" s="542"/>
      <c r="D723" s="543"/>
      <c r="E723" s="655"/>
      <c r="F723" s="288">
        <f t="shared" si="22"/>
        <v>0</v>
      </c>
    </row>
    <row r="724" spans="1:7" s="571" customFormat="1" ht="122.25" customHeight="1">
      <c r="A724" s="540"/>
      <c r="B724" s="434" t="s">
        <v>984</v>
      </c>
      <c r="C724" s="542"/>
      <c r="D724" s="543"/>
      <c r="E724" s="655"/>
      <c r="F724" s="288">
        <f t="shared" si="22"/>
        <v>0</v>
      </c>
    </row>
    <row r="725" spans="1:7" s="571" customFormat="1" ht="29.25" customHeight="1">
      <c r="A725" s="540"/>
      <c r="B725" s="434" t="s">
        <v>619</v>
      </c>
      <c r="C725" s="542"/>
      <c r="D725" s="543"/>
      <c r="E725" s="655"/>
      <c r="F725" s="288">
        <f t="shared" si="22"/>
        <v>0</v>
      </c>
    </row>
    <row r="726" spans="1:7" s="571" customFormat="1">
      <c r="A726" s="540"/>
      <c r="B726" s="434" t="s">
        <v>642</v>
      </c>
      <c r="C726" s="542"/>
      <c r="D726" s="543"/>
      <c r="E726" s="655"/>
      <c r="F726" s="288">
        <f t="shared" si="22"/>
        <v>0</v>
      </c>
    </row>
    <row r="727" spans="1:7" s="571" customFormat="1">
      <c r="A727" s="540"/>
      <c r="B727" s="434" t="s">
        <v>622</v>
      </c>
      <c r="C727" s="542"/>
      <c r="D727" s="543"/>
      <c r="E727" s="655"/>
      <c r="F727" s="288">
        <f t="shared" si="22"/>
        <v>0</v>
      </c>
    </row>
    <row r="728" spans="1:7" s="571" customFormat="1">
      <c r="A728" s="540"/>
      <c r="B728" s="434" t="s">
        <v>254</v>
      </c>
      <c r="C728" s="542"/>
      <c r="D728" s="543"/>
      <c r="E728" s="655"/>
      <c r="F728" s="288">
        <f t="shared" si="22"/>
        <v>0</v>
      </c>
    </row>
    <row r="729" spans="1:7" s="571" customFormat="1" ht="27.75" customHeight="1">
      <c r="A729" s="540"/>
      <c r="B729" s="434" t="s">
        <v>623</v>
      </c>
      <c r="C729" s="530" t="s">
        <v>34</v>
      </c>
      <c r="D729" s="287">
        <v>1</v>
      </c>
      <c r="E729" s="655"/>
      <c r="F729" s="288">
        <f t="shared" si="22"/>
        <v>0</v>
      </c>
    </row>
    <row r="730" spans="1:7" s="571" customFormat="1">
      <c r="A730" s="540"/>
      <c r="B730" s="553"/>
      <c r="C730" s="542"/>
      <c r="D730" s="543"/>
      <c r="E730" s="655"/>
      <c r="F730" s="288">
        <f t="shared" si="22"/>
        <v>0</v>
      </c>
    </row>
    <row r="731" spans="1:7" s="571" customFormat="1" ht="30">
      <c r="A731" s="573">
        <f>IF(B731&gt;0,MAX(A$707:A730)+1,"")</f>
        <v>3</v>
      </c>
      <c r="B731" s="294" t="s">
        <v>625</v>
      </c>
      <c r="C731" s="542"/>
      <c r="D731" s="543"/>
      <c r="E731" s="655"/>
      <c r="F731" s="288">
        <f t="shared" si="22"/>
        <v>0</v>
      </c>
    </row>
    <row r="732" spans="1:7" s="571" customFormat="1" ht="129.75" customHeight="1">
      <c r="A732" s="540"/>
      <c r="B732" s="434" t="s">
        <v>628</v>
      </c>
      <c r="C732" s="542"/>
      <c r="D732" s="543"/>
      <c r="E732" s="655"/>
      <c r="F732" s="288">
        <f t="shared" si="22"/>
        <v>0</v>
      </c>
      <c r="G732" s="308"/>
    </row>
    <row r="733" spans="1:7" s="571" customFormat="1" ht="106.5" customHeight="1">
      <c r="A733" s="540"/>
      <c r="B733" s="434" t="s">
        <v>1344</v>
      </c>
      <c r="C733" s="542"/>
      <c r="D733" s="543"/>
      <c r="E733" s="655"/>
      <c r="F733" s="288">
        <f t="shared" si="22"/>
        <v>0</v>
      </c>
    </row>
    <row r="734" spans="1:7" s="571" customFormat="1" ht="27.75" customHeight="1">
      <c r="A734" s="540"/>
      <c r="B734" s="434" t="s">
        <v>619</v>
      </c>
      <c r="C734" s="542"/>
      <c r="D734" s="543"/>
      <c r="E734" s="655"/>
      <c r="F734" s="288">
        <f t="shared" si="22"/>
        <v>0</v>
      </c>
    </row>
    <row r="735" spans="1:7" s="571" customFormat="1">
      <c r="A735" s="540"/>
      <c r="B735" s="434" t="s">
        <v>642</v>
      </c>
      <c r="C735" s="542"/>
      <c r="D735" s="543"/>
      <c r="E735" s="655"/>
      <c r="F735" s="288">
        <f t="shared" si="22"/>
        <v>0</v>
      </c>
    </row>
    <row r="736" spans="1:7" s="571" customFormat="1">
      <c r="A736" s="540"/>
      <c r="B736" s="434" t="s">
        <v>626</v>
      </c>
      <c r="C736" s="542"/>
      <c r="D736" s="543"/>
      <c r="E736" s="655"/>
      <c r="F736" s="288">
        <f t="shared" si="22"/>
        <v>0</v>
      </c>
    </row>
    <row r="737" spans="1:7" s="571" customFormat="1">
      <c r="A737" s="540"/>
      <c r="B737" s="434" t="s">
        <v>254</v>
      </c>
      <c r="C737" s="542"/>
      <c r="D737" s="543"/>
      <c r="E737" s="655"/>
      <c r="F737" s="288">
        <f t="shared" si="22"/>
        <v>0</v>
      </c>
    </row>
    <row r="738" spans="1:7" s="571" customFormat="1" ht="27.75" customHeight="1">
      <c r="A738" s="540"/>
      <c r="B738" s="434" t="s">
        <v>627</v>
      </c>
      <c r="C738" s="530" t="s">
        <v>34</v>
      </c>
      <c r="D738" s="287">
        <v>1</v>
      </c>
      <c r="E738" s="655"/>
      <c r="F738" s="288">
        <f t="shared" si="22"/>
        <v>0</v>
      </c>
    </row>
    <row r="739" spans="1:7" s="571" customFormat="1">
      <c r="A739" s="540"/>
      <c r="B739" s="553"/>
      <c r="C739" s="542"/>
      <c r="D739" s="543"/>
      <c r="E739" s="655"/>
      <c r="F739" s="288">
        <f t="shared" si="22"/>
        <v>0</v>
      </c>
    </row>
    <row r="740" spans="1:7" s="571" customFormat="1" ht="30">
      <c r="A740" s="573">
        <f>IF(B740&gt;0,MAX(A$707:A739)+1,"")</f>
        <v>4</v>
      </c>
      <c r="B740" s="294" t="s">
        <v>633</v>
      </c>
      <c r="C740" s="542"/>
      <c r="D740" s="543"/>
      <c r="E740" s="655"/>
      <c r="F740" s="288">
        <f t="shared" si="22"/>
        <v>0</v>
      </c>
    </row>
    <row r="741" spans="1:7" s="571" customFormat="1" ht="168" customHeight="1">
      <c r="A741" s="540"/>
      <c r="B741" s="434" t="s">
        <v>632</v>
      </c>
      <c r="C741" s="542"/>
      <c r="D741" s="543"/>
      <c r="E741" s="655"/>
      <c r="F741" s="288">
        <f t="shared" si="22"/>
        <v>0</v>
      </c>
      <c r="G741" s="308"/>
    </row>
    <row r="742" spans="1:7" s="571" customFormat="1" ht="117.75" customHeight="1">
      <c r="A742" s="540"/>
      <c r="B742" s="434" t="s">
        <v>984</v>
      </c>
      <c r="C742" s="542"/>
      <c r="D742" s="543"/>
      <c r="E742" s="655"/>
      <c r="F742" s="288">
        <f t="shared" si="22"/>
        <v>0</v>
      </c>
    </row>
    <row r="743" spans="1:7" s="571" customFormat="1" ht="38.25">
      <c r="A743" s="540"/>
      <c r="B743" s="434" t="s">
        <v>619</v>
      </c>
      <c r="C743" s="542"/>
      <c r="D743" s="543"/>
      <c r="E743" s="655"/>
      <c r="F743" s="288">
        <f t="shared" si="22"/>
        <v>0</v>
      </c>
    </row>
    <row r="744" spans="1:7" s="571" customFormat="1">
      <c r="A744" s="540"/>
      <c r="B744" s="434" t="s">
        <v>642</v>
      </c>
      <c r="C744" s="542"/>
      <c r="D744" s="543"/>
      <c r="E744" s="655"/>
      <c r="F744" s="288">
        <f t="shared" si="22"/>
        <v>0</v>
      </c>
    </row>
    <row r="745" spans="1:7" s="571" customFormat="1">
      <c r="A745" s="540"/>
      <c r="B745" s="434" t="s">
        <v>630</v>
      </c>
      <c r="C745" s="542"/>
      <c r="D745" s="543"/>
      <c r="E745" s="655"/>
      <c r="F745" s="288">
        <f t="shared" si="22"/>
        <v>0</v>
      </c>
    </row>
    <row r="746" spans="1:7" s="571" customFormat="1">
      <c r="A746" s="540"/>
      <c r="B746" s="434" t="s">
        <v>254</v>
      </c>
      <c r="C746" s="542"/>
      <c r="D746" s="543"/>
      <c r="E746" s="655"/>
      <c r="F746" s="288">
        <f t="shared" si="22"/>
        <v>0</v>
      </c>
    </row>
    <row r="747" spans="1:7" s="571" customFormat="1" ht="27.75" customHeight="1">
      <c r="A747" s="540"/>
      <c r="B747" s="434" t="s">
        <v>631</v>
      </c>
      <c r="C747" s="530" t="s">
        <v>34</v>
      </c>
      <c r="D747" s="287">
        <v>2</v>
      </c>
      <c r="E747" s="655"/>
      <c r="F747" s="288">
        <f t="shared" si="22"/>
        <v>0</v>
      </c>
    </row>
    <row r="748" spans="1:7" s="571" customFormat="1">
      <c r="A748" s="540"/>
      <c r="B748" s="553"/>
      <c r="C748" s="542"/>
      <c r="D748" s="543"/>
      <c r="E748" s="655"/>
      <c r="F748" s="288">
        <f t="shared" si="22"/>
        <v>0</v>
      </c>
    </row>
    <row r="749" spans="1:7" s="571" customFormat="1" ht="30">
      <c r="A749" s="573">
        <f>IF(B749&gt;0,MAX(A$707:A748)+1,"")</f>
        <v>5</v>
      </c>
      <c r="B749" s="294" t="s">
        <v>634</v>
      </c>
      <c r="C749" s="542"/>
      <c r="D749" s="543"/>
      <c r="E749" s="655"/>
      <c r="F749" s="288">
        <f t="shared" si="22"/>
        <v>0</v>
      </c>
    </row>
    <row r="750" spans="1:7" s="571" customFormat="1" ht="168" customHeight="1">
      <c r="A750" s="540"/>
      <c r="B750" s="434" t="s">
        <v>632</v>
      </c>
      <c r="C750" s="542"/>
      <c r="D750" s="543"/>
      <c r="E750" s="655"/>
      <c r="F750" s="288">
        <f t="shared" si="22"/>
        <v>0</v>
      </c>
      <c r="G750" s="308"/>
    </row>
    <row r="751" spans="1:7" s="571" customFormat="1" ht="120.75" customHeight="1">
      <c r="A751" s="540"/>
      <c r="B751" s="434" t="s">
        <v>984</v>
      </c>
      <c r="C751" s="542"/>
      <c r="D751" s="543"/>
      <c r="E751" s="655"/>
      <c r="F751" s="288">
        <f t="shared" si="22"/>
        <v>0</v>
      </c>
    </row>
    <row r="752" spans="1:7" s="571" customFormat="1" ht="27.75" customHeight="1">
      <c r="A752" s="540"/>
      <c r="B752" s="434" t="s">
        <v>619</v>
      </c>
      <c r="C752" s="542"/>
      <c r="D752" s="543"/>
      <c r="E752" s="655"/>
      <c r="F752" s="288">
        <f t="shared" si="22"/>
        <v>0</v>
      </c>
    </row>
    <row r="753" spans="1:7" s="571" customFormat="1">
      <c r="A753" s="540"/>
      <c r="B753" s="434" t="s">
        <v>642</v>
      </c>
      <c r="C753" s="542"/>
      <c r="D753" s="543"/>
      <c r="E753" s="655"/>
      <c r="F753" s="288">
        <f t="shared" si="22"/>
        <v>0</v>
      </c>
    </row>
    <row r="754" spans="1:7" s="571" customFormat="1">
      <c r="A754" s="540"/>
      <c r="B754" s="434" t="s">
        <v>635</v>
      </c>
      <c r="C754" s="542"/>
      <c r="D754" s="543"/>
      <c r="E754" s="655"/>
      <c r="F754" s="288">
        <f t="shared" si="22"/>
        <v>0</v>
      </c>
    </row>
    <row r="755" spans="1:7" s="571" customFormat="1">
      <c r="A755" s="540"/>
      <c r="B755" s="434" t="s">
        <v>254</v>
      </c>
      <c r="C755" s="542"/>
      <c r="D755" s="543"/>
      <c r="E755" s="655"/>
      <c r="F755" s="288">
        <f t="shared" si="22"/>
        <v>0</v>
      </c>
    </row>
    <row r="756" spans="1:7" s="571" customFormat="1" ht="28.5" customHeight="1">
      <c r="A756" s="540"/>
      <c r="B756" s="434" t="s">
        <v>636</v>
      </c>
      <c r="C756" s="530" t="s">
        <v>34</v>
      </c>
      <c r="D756" s="287">
        <v>1</v>
      </c>
      <c r="E756" s="655"/>
      <c r="F756" s="288">
        <f t="shared" si="22"/>
        <v>0</v>
      </c>
    </row>
    <row r="757" spans="1:7" s="571" customFormat="1">
      <c r="A757" s="540"/>
      <c r="B757" s="553"/>
      <c r="C757" s="542"/>
      <c r="D757" s="543"/>
      <c r="E757" s="655"/>
      <c r="F757" s="288">
        <f t="shared" si="22"/>
        <v>0</v>
      </c>
    </row>
    <row r="758" spans="1:7" s="571" customFormat="1" ht="30">
      <c r="A758" s="573">
        <f>IF(B758&gt;0,MAX(A$707:A757)+1,"")</f>
        <v>6</v>
      </c>
      <c r="B758" s="294" t="s">
        <v>637</v>
      </c>
      <c r="C758" s="542"/>
      <c r="D758" s="543"/>
      <c r="E758" s="655"/>
      <c r="F758" s="288">
        <f t="shared" si="22"/>
        <v>0</v>
      </c>
    </row>
    <row r="759" spans="1:7" s="571" customFormat="1" ht="132" customHeight="1">
      <c r="A759" s="540"/>
      <c r="B759" s="434" t="s">
        <v>638</v>
      </c>
      <c r="C759" s="542"/>
      <c r="D759" s="543"/>
      <c r="E759" s="655"/>
      <c r="F759" s="288">
        <f t="shared" si="22"/>
        <v>0</v>
      </c>
      <c r="G759" s="308"/>
    </row>
    <row r="760" spans="1:7" s="571" customFormat="1" ht="107.25" customHeight="1">
      <c r="A760" s="540"/>
      <c r="B760" s="434" t="s">
        <v>1344</v>
      </c>
      <c r="C760" s="542"/>
      <c r="D760" s="543"/>
      <c r="E760" s="655"/>
      <c r="F760" s="288">
        <f t="shared" si="22"/>
        <v>0</v>
      </c>
    </row>
    <row r="761" spans="1:7" s="571" customFormat="1" ht="29.25" customHeight="1">
      <c r="A761" s="540"/>
      <c r="B761" s="434" t="s">
        <v>619</v>
      </c>
      <c r="C761" s="542"/>
      <c r="D761" s="543"/>
      <c r="E761" s="655"/>
      <c r="F761" s="288">
        <f t="shared" si="22"/>
        <v>0</v>
      </c>
    </row>
    <row r="762" spans="1:7" s="571" customFormat="1">
      <c r="A762" s="540"/>
      <c r="B762" s="434" t="s">
        <v>642</v>
      </c>
      <c r="C762" s="542"/>
      <c r="D762" s="543"/>
      <c r="E762" s="655"/>
      <c r="F762" s="288">
        <f t="shared" si="22"/>
        <v>0</v>
      </c>
    </row>
    <row r="763" spans="1:7" s="571" customFormat="1">
      <c r="A763" s="540"/>
      <c r="B763" s="434" t="s">
        <v>639</v>
      </c>
      <c r="C763" s="542"/>
      <c r="D763" s="543"/>
      <c r="E763" s="655"/>
      <c r="F763" s="288">
        <f t="shared" si="22"/>
        <v>0</v>
      </c>
    </row>
    <row r="764" spans="1:7" s="571" customFormat="1">
      <c r="A764" s="540"/>
      <c r="B764" s="434" t="s">
        <v>254</v>
      </c>
      <c r="C764" s="542"/>
      <c r="D764" s="543"/>
      <c r="E764" s="655"/>
      <c r="F764" s="288">
        <f t="shared" si="22"/>
        <v>0</v>
      </c>
    </row>
    <row r="765" spans="1:7" s="571" customFormat="1" ht="40.5" customHeight="1">
      <c r="A765" s="540"/>
      <c r="B765" s="434" t="s">
        <v>640</v>
      </c>
      <c r="C765" s="530" t="s">
        <v>34</v>
      </c>
      <c r="D765" s="287">
        <v>1</v>
      </c>
      <c r="E765" s="655"/>
      <c r="F765" s="288">
        <f t="shared" si="22"/>
        <v>0</v>
      </c>
    </row>
    <row r="766" spans="1:7" s="571" customFormat="1" ht="39.75" customHeight="1">
      <c r="A766" s="540"/>
      <c r="B766" s="434" t="s">
        <v>641</v>
      </c>
      <c r="C766" s="530" t="s">
        <v>34</v>
      </c>
      <c r="D766" s="287">
        <v>3</v>
      </c>
      <c r="E766" s="655"/>
      <c r="F766" s="288">
        <f t="shared" si="22"/>
        <v>0</v>
      </c>
    </row>
    <row r="767" spans="1:7" s="571" customFormat="1">
      <c r="A767" s="540"/>
      <c r="B767" s="434"/>
      <c r="C767" s="530"/>
      <c r="D767" s="287"/>
      <c r="E767" s="655"/>
      <c r="F767" s="288">
        <f t="shared" si="22"/>
        <v>0</v>
      </c>
    </row>
    <row r="768" spans="1:7" s="571" customFormat="1" ht="30" customHeight="1">
      <c r="A768" s="573">
        <f>IF(B768&gt;0,MAX(A$707:A767)+1,"")</f>
        <v>7</v>
      </c>
      <c r="B768" s="294" t="s">
        <v>690</v>
      </c>
      <c r="C768" s="542"/>
      <c r="D768" s="543"/>
      <c r="E768" s="655"/>
      <c r="F768" s="288">
        <f t="shared" si="22"/>
        <v>0</v>
      </c>
    </row>
    <row r="769" spans="1:6" s="571" customFormat="1" ht="190.5" customHeight="1">
      <c r="A769" s="540"/>
      <c r="B769" s="434" t="s">
        <v>931</v>
      </c>
      <c r="C769" s="530"/>
      <c r="D769" s="287"/>
      <c r="E769" s="655"/>
      <c r="F769" s="288">
        <f t="shared" si="22"/>
        <v>0</v>
      </c>
    </row>
    <row r="770" spans="1:6" s="571" customFormat="1" ht="102">
      <c r="A770" s="540"/>
      <c r="B770" s="434" t="s">
        <v>1344</v>
      </c>
      <c r="C770" s="530"/>
      <c r="D770" s="287"/>
      <c r="E770" s="655"/>
      <c r="F770" s="288">
        <f t="shared" si="22"/>
        <v>0</v>
      </c>
    </row>
    <row r="771" spans="1:6" s="571" customFormat="1" ht="39" customHeight="1">
      <c r="A771" s="540"/>
      <c r="B771" s="434" t="s">
        <v>619</v>
      </c>
      <c r="C771" s="542"/>
      <c r="D771" s="543"/>
      <c r="E771" s="655"/>
      <c r="F771" s="288">
        <f t="shared" si="22"/>
        <v>0</v>
      </c>
    </row>
    <row r="772" spans="1:6" s="571" customFormat="1">
      <c r="A772" s="540"/>
      <c r="B772" s="434" t="s">
        <v>642</v>
      </c>
      <c r="C772" s="542"/>
      <c r="D772" s="543"/>
      <c r="E772" s="655"/>
      <c r="F772" s="288">
        <f t="shared" si="22"/>
        <v>0</v>
      </c>
    </row>
    <row r="773" spans="1:6" s="571" customFormat="1">
      <c r="A773" s="540"/>
      <c r="B773" s="434" t="s">
        <v>691</v>
      </c>
      <c r="C773" s="542"/>
      <c r="D773" s="543"/>
      <c r="E773" s="655"/>
      <c r="F773" s="288">
        <f t="shared" si="22"/>
        <v>0</v>
      </c>
    </row>
    <row r="774" spans="1:6" s="571" customFormat="1">
      <c r="A774" s="540"/>
      <c r="B774" s="434" t="s">
        <v>693</v>
      </c>
      <c r="C774" s="542"/>
      <c r="D774" s="543"/>
      <c r="E774" s="655"/>
      <c r="F774" s="288">
        <f t="shared" si="22"/>
        <v>0</v>
      </c>
    </row>
    <row r="775" spans="1:6" s="571" customFormat="1" ht="15.75" customHeight="1">
      <c r="A775" s="540"/>
      <c r="B775" s="434" t="s">
        <v>692</v>
      </c>
      <c r="C775" s="530" t="s">
        <v>34</v>
      </c>
      <c r="D775" s="287">
        <v>1</v>
      </c>
      <c r="E775" s="655"/>
      <c r="F775" s="288">
        <f t="shared" si="22"/>
        <v>0</v>
      </c>
    </row>
    <row r="776" spans="1:6" s="571" customFormat="1" ht="15" customHeight="1">
      <c r="A776" s="540"/>
      <c r="B776" s="434" t="s">
        <v>2127</v>
      </c>
      <c r="C776" s="530" t="s">
        <v>34</v>
      </c>
      <c r="D776" s="287">
        <v>1</v>
      </c>
      <c r="E776" s="655"/>
      <c r="F776" s="288">
        <f t="shared" si="22"/>
        <v>0</v>
      </c>
    </row>
    <row r="777" spans="1:6" s="571" customFormat="1">
      <c r="A777" s="540"/>
      <c r="B777" s="434" t="s">
        <v>2128</v>
      </c>
      <c r="C777" s="530" t="s">
        <v>34</v>
      </c>
      <c r="D777" s="287">
        <v>2</v>
      </c>
      <c r="E777" s="655"/>
      <c r="F777" s="288">
        <f t="shared" si="22"/>
        <v>0</v>
      </c>
    </row>
    <row r="778" spans="1:6" s="571" customFormat="1">
      <c r="A778" s="540"/>
      <c r="B778" s="434"/>
      <c r="C778" s="530"/>
      <c r="D778" s="287"/>
      <c r="E778" s="655"/>
      <c r="F778" s="288">
        <f t="shared" si="22"/>
        <v>0</v>
      </c>
    </row>
    <row r="779" spans="1:6" s="571" customFormat="1" ht="30">
      <c r="A779" s="573">
        <f>IF(B779&gt;0,MAX(A$707:A778)+1,"")</f>
        <v>8</v>
      </c>
      <c r="B779" s="294" t="s">
        <v>694</v>
      </c>
      <c r="C779" s="542"/>
      <c r="D779" s="543"/>
      <c r="E779" s="655"/>
      <c r="F779" s="288">
        <f t="shared" si="22"/>
        <v>0</v>
      </c>
    </row>
    <row r="780" spans="1:6" s="571" customFormat="1" ht="178.5">
      <c r="A780" s="540"/>
      <c r="B780" s="434" t="s">
        <v>932</v>
      </c>
      <c r="C780" s="530"/>
      <c r="D780" s="287"/>
      <c r="E780" s="655"/>
      <c r="F780" s="288">
        <f t="shared" si="22"/>
        <v>0</v>
      </c>
    </row>
    <row r="781" spans="1:6" s="571" customFormat="1" ht="102">
      <c r="A781" s="540"/>
      <c r="B781" s="434" t="s">
        <v>1344</v>
      </c>
      <c r="C781" s="530"/>
      <c r="D781" s="287"/>
      <c r="E781" s="655"/>
      <c r="F781" s="288">
        <f t="shared" ref="F781:F844" si="23">D781*E781</f>
        <v>0</v>
      </c>
    </row>
    <row r="782" spans="1:6" s="571" customFormat="1" ht="38.25" customHeight="1">
      <c r="A782" s="540"/>
      <c r="B782" s="434" t="s">
        <v>619</v>
      </c>
      <c r="C782" s="542"/>
      <c r="D782" s="543"/>
      <c r="E782" s="655"/>
      <c r="F782" s="288">
        <f t="shared" si="23"/>
        <v>0</v>
      </c>
    </row>
    <row r="783" spans="1:6" s="571" customFormat="1">
      <c r="A783" s="540"/>
      <c r="B783" s="434" t="s">
        <v>695</v>
      </c>
      <c r="C783" s="542"/>
      <c r="D783" s="543"/>
      <c r="E783" s="655"/>
      <c r="F783" s="288">
        <f t="shared" si="23"/>
        <v>0</v>
      </c>
    </row>
    <row r="784" spans="1:6" s="571" customFormat="1">
      <c r="A784" s="540"/>
      <c r="B784" s="434" t="s">
        <v>693</v>
      </c>
      <c r="C784" s="542"/>
      <c r="D784" s="543"/>
      <c r="E784" s="655"/>
      <c r="F784" s="288">
        <f t="shared" si="23"/>
        <v>0</v>
      </c>
    </row>
    <row r="785" spans="1:6" s="571" customFormat="1" ht="15.75" customHeight="1">
      <c r="A785" s="540"/>
      <c r="B785" s="434" t="s">
        <v>696</v>
      </c>
      <c r="C785" s="530" t="s">
        <v>34</v>
      </c>
      <c r="D785" s="287">
        <v>1</v>
      </c>
      <c r="E785" s="655"/>
      <c r="F785" s="288">
        <f t="shared" si="23"/>
        <v>0</v>
      </c>
    </row>
    <row r="786" spans="1:6" s="571" customFormat="1" ht="15" customHeight="1">
      <c r="A786" s="540"/>
      <c r="B786" s="434" t="s">
        <v>2129</v>
      </c>
      <c r="C786" s="530" t="s">
        <v>34</v>
      </c>
      <c r="D786" s="287">
        <v>1</v>
      </c>
      <c r="E786" s="655"/>
      <c r="F786" s="288">
        <f t="shared" si="23"/>
        <v>0</v>
      </c>
    </row>
    <row r="787" spans="1:6" s="571" customFormat="1">
      <c r="A787" s="540"/>
      <c r="B787" s="434"/>
      <c r="C787" s="530"/>
      <c r="D787" s="287"/>
      <c r="E787" s="655"/>
      <c r="F787" s="288">
        <f t="shared" si="23"/>
        <v>0</v>
      </c>
    </row>
    <row r="788" spans="1:6" s="571" customFormat="1" ht="30">
      <c r="A788" s="573">
        <f>IF(B788&gt;0,MAX(A$707:A787)+1,"")</f>
        <v>9</v>
      </c>
      <c r="B788" s="294" t="s">
        <v>697</v>
      </c>
      <c r="C788" s="542"/>
      <c r="D788" s="543"/>
      <c r="E788" s="655"/>
      <c r="F788" s="288">
        <f t="shared" si="23"/>
        <v>0</v>
      </c>
    </row>
    <row r="789" spans="1:6" s="571" customFormat="1" ht="178.5">
      <c r="A789" s="540"/>
      <c r="B789" s="434" t="s">
        <v>933</v>
      </c>
      <c r="C789" s="530"/>
      <c r="D789" s="287"/>
      <c r="E789" s="655"/>
      <c r="F789" s="288">
        <f t="shared" si="23"/>
        <v>0</v>
      </c>
    </row>
    <row r="790" spans="1:6" s="571" customFormat="1" ht="102">
      <c r="A790" s="540"/>
      <c r="B790" s="434" t="s">
        <v>1344</v>
      </c>
      <c r="C790" s="530"/>
      <c r="D790" s="287"/>
      <c r="E790" s="655"/>
      <c r="F790" s="288">
        <f t="shared" si="23"/>
        <v>0</v>
      </c>
    </row>
    <row r="791" spans="1:6" s="571" customFormat="1" ht="40.5" customHeight="1">
      <c r="A791" s="540"/>
      <c r="B791" s="434" t="s">
        <v>619</v>
      </c>
      <c r="C791" s="542"/>
      <c r="D791" s="543"/>
      <c r="E791" s="655"/>
      <c r="F791" s="288">
        <f t="shared" si="23"/>
        <v>0</v>
      </c>
    </row>
    <row r="792" spans="1:6" s="571" customFormat="1">
      <c r="A792" s="540"/>
      <c r="B792" s="434" t="s">
        <v>698</v>
      </c>
      <c r="C792" s="542"/>
      <c r="D792" s="543"/>
      <c r="E792" s="655"/>
      <c r="F792" s="288">
        <f t="shared" si="23"/>
        <v>0</v>
      </c>
    </row>
    <row r="793" spans="1:6" s="571" customFormat="1">
      <c r="A793" s="540"/>
      <c r="B793" s="434" t="s">
        <v>693</v>
      </c>
      <c r="C793" s="542"/>
      <c r="D793" s="543"/>
      <c r="E793" s="655"/>
      <c r="F793" s="288">
        <f t="shared" si="23"/>
        <v>0</v>
      </c>
    </row>
    <row r="794" spans="1:6" s="571" customFormat="1" ht="15.75" customHeight="1">
      <c r="A794" s="540"/>
      <c r="B794" s="434" t="s">
        <v>699</v>
      </c>
      <c r="C794" s="530" t="s">
        <v>34</v>
      </c>
      <c r="D794" s="287">
        <v>1</v>
      </c>
      <c r="E794" s="655"/>
      <c r="F794" s="288">
        <f t="shared" si="23"/>
        <v>0</v>
      </c>
    </row>
    <row r="795" spans="1:6" s="571" customFormat="1" ht="15" customHeight="1">
      <c r="A795" s="540"/>
      <c r="B795" s="434" t="s">
        <v>2130</v>
      </c>
      <c r="C795" s="530" t="s">
        <v>34</v>
      </c>
      <c r="D795" s="287">
        <v>1</v>
      </c>
      <c r="E795" s="655"/>
      <c r="F795" s="288">
        <f t="shared" si="23"/>
        <v>0</v>
      </c>
    </row>
    <row r="796" spans="1:6" s="571" customFormat="1">
      <c r="A796" s="540"/>
      <c r="B796" s="434"/>
      <c r="C796" s="530"/>
      <c r="D796" s="287"/>
      <c r="E796" s="655"/>
      <c r="F796" s="288">
        <f t="shared" si="23"/>
        <v>0</v>
      </c>
    </row>
    <row r="797" spans="1:6" s="571" customFormat="1">
      <c r="A797" s="573">
        <f>IF(B797&gt;0,MAX(A$707:A796)+1,"")</f>
        <v>10</v>
      </c>
      <c r="B797" s="294" t="s">
        <v>700</v>
      </c>
      <c r="C797" s="542"/>
      <c r="D797" s="543"/>
      <c r="E797" s="655"/>
      <c r="F797" s="288">
        <f t="shared" si="23"/>
        <v>0</v>
      </c>
    </row>
    <row r="798" spans="1:6" s="571" customFormat="1" ht="76.5">
      <c r="A798" s="540"/>
      <c r="B798" s="434" t="s">
        <v>701</v>
      </c>
      <c r="C798" s="530"/>
      <c r="D798" s="287"/>
      <c r="E798" s="655"/>
      <c r="F798" s="288">
        <f t="shared" si="23"/>
        <v>0</v>
      </c>
    </row>
    <row r="799" spans="1:6" s="571" customFormat="1" ht="102">
      <c r="A799" s="540"/>
      <c r="B799" s="434" t="s">
        <v>1345</v>
      </c>
      <c r="C799" s="530"/>
      <c r="D799" s="287"/>
      <c r="E799" s="655"/>
      <c r="F799" s="288">
        <f t="shared" si="23"/>
        <v>0</v>
      </c>
    </row>
    <row r="800" spans="1:6" s="571" customFormat="1" ht="36.75" customHeight="1">
      <c r="A800" s="540"/>
      <c r="B800" s="434" t="s">
        <v>619</v>
      </c>
      <c r="C800" s="542"/>
      <c r="D800" s="543"/>
      <c r="E800" s="655"/>
      <c r="F800" s="288">
        <f t="shared" si="23"/>
        <v>0</v>
      </c>
    </row>
    <row r="801" spans="1:6" s="571" customFormat="1">
      <c r="A801" s="540"/>
      <c r="B801" s="434" t="s">
        <v>702</v>
      </c>
      <c r="C801" s="542"/>
      <c r="D801" s="543"/>
      <c r="E801" s="655"/>
      <c r="F801" s="288">
        <f t="shared" si="23"/>
        <v>0</v>
      </c>
    </row>
    <row r="802" spans="1:6" s="571" customFormat="1">
      <c r="A802" s="540"/>
      <c r="B802" s="434" t="s">
        <v>703</v>
      </c>
      <c r="C802" s="542"/>
      <c r="D802" s="543"/>
      <c r="E802" s="655"/>
      <c r="F802" s="288">
        <f t="shared" si="23"/>
        <v>0</v>
      </c>
    </row>
    <row r="803" spans="1:6" s="571" customFormat="1">
      <c r="A803" s="540"/>
      <c r="B803" s="434" t="s">
        <v>704</v>
      </c>
      <c r="C803" s="530" t="s">
        <v>34</v>
      </c>
      <c r="D803" s="287">
        <v>1</v>
      </c>
      <c r="E803" s="655"/>
      <c r="F803" s="288">
        <f t="shared" si="23"/>
        <v>0</v>
      </c>
    </row>
    <row r="804" spans="1:6" s="571" customFormat="1">
      <c r="A804" s="540"/>
      <c r="B804" s="434"/>
      <c r="C804" s="530"/>
      <c r="D804" s="287"/>
      <c r="E804" s="655"/>
      <c r="F804" s="288">
        <f t="shared" si="23"/>
        <v>0</v>
      </c>
    </row>
    <row r="805" spans="1:6" s="571" customFormat="1" ht="30">
      <c r="A805" s="573">
        <f>IF(B805&gt;0,MAX(A$707:A804)+1,"")</f>
        <v>11</v>
      </c>
      <c r="B805" s="294" t="s">
        <v>5515</v>
      </c>
      <c r="C805" s="530"/>
      <c r="D805" s="287"/>
      <c r="E805" s="655"/>
      <c r="F805" s="288">
        <f t="shared" si="23"/>
        <v>0</v>
      </c>
    </row>
    <row r="806" spans="1:6" s="571" customFormat="1" ht="127.5">
      <c r="A806" s="540"/>
      <c r="B806" s="434" t="s">
        <v>934</v>
      </c>
      <c r="C806" s="530"/>
      <c r="D806" s="287"/>
      <c r="E806" s="655"/>
      <c r="F806" s="288">
        <f t="shared" si="23"/>
        <v>0</v>
      </c>
    </row>
    <row r="807" spans="1:6" s="571" customFormat="1" ht="114.75">
      <c r="A807" s="540"/>
      <c r="B807" s="434" t="s">
        <v>985</v>
      </c>
      <c r="C807" s="530"/>
      <c r="D807" s="287"/>
      <c r="E807" s="655"/>
      <c r="F807" s="288">
        <f t="shared" si="23"/>
        <v>0</v>
      </c>
    </row>
    <row r="808" spans="1:6" s="571" customFormat="1" ht="45.75" customHeight="1">
      <c r="A808" s="540"/>
      <c r="B808" s="434" t="s">
        <v>619</v>
      </c>
      <c r="C808" s="542"/>
      <c r="D808" s="543"/>
      <c r="E808" s="655"/>
      <c r="F808" s="288">
        <f t="shared" si="23"/>
        <v>0</v>
      </c>
    </row>
    <row r="809" spans="1:6" s="571" customFormat="1">
      <c r="A809" s="540"/>
      <c r="B809" s="434" t="s">
        <v>5516</v>
      </c>
      <c r="C809" s="542"/>
      <c r="D809" s="543"/>
      <c r="E809" s="655"/>
      <c r="F809" s="288">
        <f t="shared" si="23"/>
        <v>0</v>
      </c>
    </row>
    <row r="810" spans="1:6" s="571" customFormat="1">
      <c r="A810" s="540"/>
      <c r="B810" s="434" t="s">
        <v>703</v>
      </c>
      <c r="C810" s="542"/>
      <c r="D810" s="543"/>
      <c r="E810" s="655"/>
      <c r="F810" s="288">
        <f t="shared" si="23"/>
        <v>0</v>
      </c>
    </row>
    <row r="811" spans="1:6" s="571" customFormat="1">
      <c r="A811" s="540"/>
      <c r="B811" s="434" t="s">
        <v>705</v>
      </c>
      <c r="C811" s="530" t="s">
        <v>34</v>
      </c>
      <c r="D811" s="287">
        <v>1</v>
      </c>
      <c r="E811" s="655"/>
      <c r="F811" s="288">
        <f t="shared" si="23"/>
        <v>0</v>
      </c>
    </row>
    <row r="812" spans="1:6" s="571" customFormat="1">
      <c r="A812" s="540"/>
      <c r="B812" s="434"/>
      <c r="C812" s="530"/>
      <c r="D812" s="287"/>
      <c r="E812" s="655"/>
      <c r="F812" s="288">
        <f t="shared" si="23"/>
        <v>0</v>
      </c>
    </row>
    <row r="813" spans="1:6" s="571" customFormat="1" ht="30">
      <c r="A813" s="573">
        <f>IF(B813&gt;0,MAX(A$707:A812)+1,"")</f>
        <v>12</v>
      </c>
      <c r="B813" s="294" t="s">
        <v>706</v>
      </c>
      <c r="C813" s="530"/>
      <c r="D813" s="287"/>
      <c r="E813" s="655"/>
      <c r="F813" s="288">
        <f t="shared" si="23"/>
        <v>0</v>
      </c>
    </row>
    <row r="814" spans="1:6" s="571" customFormat="1" ht="118.5" customHeight="1">
      <c r="A814" s="540"/>
      <c r="B814" s="434" t="s">
        <v>935</v>
      </c>
      <c r="C814" s="530"/>
      <c r="D814" s="287"/>
      <c r="E814" s="655"/>
      <c r="F814" s="288">
        <f t="shared" si="23"/>
        <v>0</v>
      </c>
    </row>
    <row r="815" spans="1:6" s="571" customFormat="1" ht="114.75">
      <c r="A815" s="540"/>
      <c r="B815" s="434" t="s">
        <v>985</v>
      </c>
      <c r="C815" s="530"/>
      <c r="D815" s="287"/>
      <c r="E815" s="655"/>
      <c r="F815" s="288">
        <f t="shared" si="23"/>
        <v>0</v>
      </c>
    </row>
    <row r="816" spans="1:6" s="571" customFormat="1" ht="37.5" customHeight="1">
      <c r="A816" s="540"/>
      <c r="B816" s="434" t="s">
        <v>619</v>
      </c>
      <c r="C816" s="542"/>
      <c r="D816" s="543"/>
      <c r="E816" s="655"/>
      <c r="F816" s="288">
        <f t="shared" si="23"/>
        <v>0</v>
      </c>
    </row>
    <row r="817" spans="1:10" s="571" customFormat="1">
      <c r="A817" s="540"/>
      <c r="B817" s="434" t="s">
        <v>707</v>
      </c>
      <c r="C817" s="542"/>
      <c r="D817" s="543"/>
      <c r="E817" s="655"/>
      <c r="F817" s="288">
        <f t="shared" si="23"/>
        <v>0</v>
      </c>
    </row>
    <row r="818" spans="1:10" s="571" customFormat="1">
      <c r="A818" s="540"/>
      <c r="B818" s="434" t="s">
        <v>703</v>
      </c>
      <c r="C818" s="542"/>
      <c r="D818" s="543"/>
      <c r="E818" s="655"/>
      <c r="F818" s="288">
        <f t="shared" si="23"/>
        <v>0</v>
      </c>
    </row>
    <row r="819" spans="1:10" s="571" customFormat="1">
      <c r="A819" s="540"/>
      <c r="B819" s="434" t="s">
        <v>708</v>
      </c>
      <c r="C819" s="530" t="s">
        <v>34</v>
      </c>
      <c r="D819" s="287">
        <v>1</v>
      </c>
      <c r="E819" s="655"/>
      <c r="F819" s="288">
        <f t="shared" si="23"/>
        <v>0</v>
      </c>
    </row>
    <row r="820" spans="1:10" s="571" customFormat="1">
      <c r="A820" s="540"/>
      <c r="B820" s="434"/>
      <c r="C820" s="530"/>
      <c r="D820" s="287"/>
      <c r="E820" s="655"/>
      <c r="F820" s="288">
        <f t="shared" si="23"/>
        <v>0</v>
      </c>
    </row>
    <row r="821" spans="1:10" s="571" customFormat="1">
      <c r="A821" s="540"/>
      <c r="B821" s="294" t="s">
        <v>126</v>
      </c>
      <c r="C821" s="542"/>
      <c r="D821" s="543"/>
      <c r="E821" s="655"/>
      <c r="F821" s="288">
        <f t="shared" si="23"/>
        <v>0</v>
      </c>
    </row>
    <row r="822" spans="1:10" s="571" customFormat="1">
      <c r="A822" s="540"/>
      <c r="B822" s="553"/>
      <c r="C822" s="542"/>
      <c r="D822" s="543"/>
      <c r="E822" s="655"/>
      <c r="F822" s="288">
        <f t="shared" si="23"/>
        <v>0</v>
      </c>
    </row>
    <row r="823" spans="1:10" s="599" customFormat="1" ht="15.75">
      <c r="A823" s="596" t="s">
        <v>977</v>
      </c>
      <c r="B823" s="597" t="s">
        <v>710</v>
      </c>
      <c r="C823" s="598"/>
      <c r="D823" s="587"/>
      <c r="E823" s="659"/>
      <c r="F823" s="288">
        <f t="shared" si="23"/>
        <v>0</v>
      </c>
      <c r="H823" s="600"/>
      <c r="I823" s="601"/>
      <c r="J823" s="602"/>
    </row>
    <row r="824" spans="1:10" s="604" customFormat="1" ht="267.75">
      <c r="A824" s="603"/>
      <c r="B824" s="434" t="s">
        <v>719</v>
      </c>
      <c r="C824" s="592"/>
      <c r="D824" s="593"/>
      <c r="E824" s="18"/>
      <c r="F824" s="288">
        <f t="shared" si="23"/>
        <v>0</v>
      </c>
      <c r="H824" s="605"/>
      <c r="J824" s="606"/>
    </row>
    <row r="825" spans="1:10" s="604" customFormat="1" ht="255">
      <c r="A825" s="603"/>
      <c r="B825" s="434" t="s">
        <v>720</v>
      </c>
      <c r="C825" s="592"/>
      <c r="D825" s="593"/>
      <c r="E825" s="18"/>
      <c r="F825" s="288">
        <f t="shared" si="23"/>
        <v>0</v>
      </c>
      <c r="H825" s="605"/>
      <c r="J825" s="606"/>
    </row>
    <row r="826" spans="1:10" s="604" customFormat="1" ht="15.75" customHeight="1">
      <c r="A826" s="603"/>
      <c r="B826" s="434" t="s">
        <v>711</v>
      </c>
      <c r="C826" s="598"/>
      <c r="D826" s="607"/>
      <c r="E826" s="660"/>
      <c r="F826" s="288">
        <f t="shared" si="23"/>
        <v>0</v>
      </c>
      <c r="H826" s="605"/>
      <c r="J826" s="606"/>
    </row>
    <row r="827" spans="1:10" s="604" customFormat="1" ht="53.25" customHeight="1">
      <c r="A827" s="603"/>
      <c r="B827" s="434" t="s">
        <v>712</v>
      </c>
      <c r="C827" s="592"/>
      <c r="D827" s="593"/>
      <c r="E827" s="18"/>
      <c r="F827" s="288">
        <f t="shared" si="23"/>
        <v>0</v>
      </c>
      <c r="H827" s="605"/>
      <c r="J827" s="606"/>
    </row>
    <row r="828" spans="1:10" s="604" customFormat="1" ht="63.75">
      <c r="A828" s="603"/>
      <c r="B828" s="434" t="s">
        <v>721</v>
      </c>
      <c r="C828" s="592"/>
      <c r="D828" s="593"/>
      <c r="E828" s="18"/>
      <c r="F828" s="288">
        <f t="shared" si="23"/>
        <v>0</v>
      </c>
      <c r="H828" s="605"/>
      <c r="J828" s="606"/>
    </row>
    <row r="829" spans="1:10" s="604" customFormat="1" ht="66.75" customHeight="1">
      <c r="A829" s="603"/>
      <c r="B829" s="434" t="s">
        <v>722</v>
      </c>
      <c r="C829" s="592"/>
      <c r="D829" s="593"/>
      <c r="E829" s="18"/>
      <c r="F829" s="288">
        <f t="shared" si="23"/>
        <v>0</v>
      </c>
      <c r="H829" s="605"/>
      <c r="J829" s="606"/>
    </row>
    <row r="830" spans="1:10" s="604" customFormat="1" ht="53.25" customHeight="1">
      <c r="A830" s="603"/>
      <c r="B830" s="434" t="s">
        <v>723</v>
      </c>
      <c r="C830" s="592"/>
      <c r="D830" s="593"/>
      <c r="E830" s="18"/>
      <c r="F830" s="288">
        <f t="shared" si="23"/>
        <v>0</v>
      </c>
      <c r="H830" s="605"/>
      <c r="J830" s="606"/>
    </row>
    <row r="831" spans="1:10" s="604" customFormat="1" ht="51.75" customHeight="1">
      <c r="A831" s="603"/>
      <c r="B831" s="434" t="s">
        <v>724</v>
      </c>
      <c r="C831" s="592"/>
      <c r="D831" s="593"/>
      <c r="E831" s="18"/>
      <c r="F831" s="288">
        <f t="shared" si="23"/>
        <v>0</v>
      </c>
      <c r="H831" s="605"/>
      <c r="J831" s="606"/>
    </row>
    <row r="832" spans="1:10" s="604" customFormat="1" ht="114.75">
      <c r="A832" s="603"/>
      <c r="B832" s="434" t="s">
        <v>725</v>
      </c>
      <c r="C832" s="592"/>
      <c r="D832" s="593"/>
      <c r="E832" s="18"/>
      <c r="F832" s="288">
        <f t="shared" si="23"/>
        <v>0</v>
      </c>
      <c r="H832" s="605"/>
      <c r="J832" s="606"/>
    </row>
    <row r="833" spans="1:12" s="604" customFormat="1">
      <c r="A833" s="603"/>
      <c r="B833" s="434" t="s">
        <v>713</v>
      </c>
      <c r="C833" s="592"/>
      <c r="D833" s="593"/>
      <c r="E833" s="18"/>
      <c r="F833" s="288">
        <f t="shared" si="23"/>
        <v>0</v>
      </c>
      <c r="H833" s="605"/>
      <c r="J833" s="606"/>
    </row>
    <row r="834" spans="1:12" s="604" customFormat="1">
      <c r="A834" s="603"/>
      <c r="B834" s="434"/>
      <c r="C834" s="592"/>
      <c r="D834" s="593"/>
      <c r="E834" s="18"/>
      <c r="F834" s="288">
        <f t="shared" si="23"/>
        <v>0</v>
      </c>
      <c r="H834" s="605"/>
      <c r="J834" s="606"/>
    </row>
    <row r="835" spans="1:12" s="604" customFormat="1" ht="15.75" customHeight="1">
      <c r="A835" s="577" t="s">
        <v>604</v>
      </c>
      <c r="B835" s="608" t="s">
        <v>987</v>
      </c>
      <c r="C835" s="598"/>
      <c r="D835" s="607"/>
      <c r="E835" s="660"/>
      <c r="F835" s="288">
        <f t="shared" si="23"/>
        <v>0</v>
      </c>
      <c r="H835" s="605"/>
      <c r="J835" s="606"/>
    </row>
    <row r="836" spans="1:12" s="604" customFormat="1" ht="51.75" customHeight="1">
      <c r="A836" s="603"/>
      <c r="B836" s="434" t="s">
        <v>714</v>
      </c>
      <c r="C836" s="592"/>
      <c r="D836" s="593"/>
      <c r="E836" s="18"/>
      <c r="F836" s="288">
        <f t="shared" si="23"/>
        <v>0</v>
      </c>
      <c r="H836" s="605"/>
      <c r="J836" s="606"/>
    </row>
    <row r="837" spans="1:12" s="599" customFormat="1" ht="89.25">
      <c r="A837" s="609"/>
      <c r="B837" s="434" t="s">
        <v>726</v>
      </c>
      <c r="C837" s="592"/>
      <c r="D837" s="593"/>
      <c r="E837" s="18"/>
      <c r="F837" s="288">
        <f t="shared" si="23"/>
        <v>0</v>
      </c>
      <c r="H837" s="600"/>
      <c r="I837" s="601"/>
      <c r="J837" s="602"/>
    </row>
    <row r="838" spans="1:12" s="599" customFormat="1" ht="191.25">
      <c r="A838" s="609"/>
      <c r="B838" s="434" t="s">
        <v>727</v>
      </c>
      <c r="C838" s="592"/>
      <c r="D838" s="593"/>
      <c r="E838" s="18"/>
      <c r="F838" s="288">
        <f t="shared" si="23"/>
        <v>0</v>
      </c>
      <c r="H838" s="600"/>
      <c r="I838" s="601"/>
      <c r="J838" s="602"/>
    </row>
    <row r="839" spans="1:12" s="599" customFormat="1" ht="103.9" customHeight="1">
      <c r="A839" s="609"/>
      <c r="B839" s="434" t="s">
        <v>728</v>
      </c>
      <c r="C839" s="592"/>
      <c r="D839" s="593"/>
      <c r="E839" s="18"/>
      <c r="F839" s="288">
        <f t="shared" si="23"/>
        <v>0</v>
      </c>
      <c r="H839" s="600"/>
      <c r="I839" s="601"/>
      <c r="J839" s="602"/>
    </row>
    <row r="840" spans="1:12" s="604" customFormat="1" ht="135" customHeight="1">
      <c r="A840" s="603"/>
      <c r="B840" s="610" t="s">
        <v>729</v>
      </c>
      <c r="C840" s="592"/>
      <c r="D840" s="593"/>
      <c r="E840" s="18"/>
      <c r="F840" s="288">
        <f t="shared" si="23"/>
        <v>0</v>
      </c>
      <c r="H840" s="605"/>
      <c r="J840" s="606"/>
    </row>
    <row r="841" spans="1:12" s="604" customFormat="1" ht="15.75" customHeight="1">
      <c r="A841" s="611" t="s">
        <v>603</v>
      </c>
      <c r="B841" s="612" t="s">
        <v>988</v>
      </c>
      <c r="C841" s="598"/>
      <c r="D841" s="607"/>
      <c r="E841" s="660"/>
      <c r="F841" s="288">
        <f t="shared" si="23"/>
        <v>0</v>
      </c>
      <c r="H841" s="605"/>
      <c r="J841" s="606"/>
    </row>
    <row r="842" spans="1:12" s="604" customFormat="1" ht="372.75" customHeight="1">
      <c r="A842" s="613"/>
      <c r="B842" s="434" t="s">
        <v>730</v>
      </c>
      <c r="C842" s="592"/>
      <c r="D842" s="593"/>
      <c r="E842" s="18"/>
      <c r="F842" s="288">
        <f t="shared" si="23"/>
        <v>0</v>
      </c>
      <c r="H842" s="605"/>
      <c r="J842" s="606"/>
    </row>
    <row r="843" spans="1:12" s="604" customFormat="1" ht="159.75" customHeight="1">
      <c r="A843" s="614"/>
      <c r="B843" s="434" t="s">
        <v>731</v>
      </c>
      <c r="C843" s="592"/>
      <c r="D843" s="593"/>
      <c r="E843" s="18"/>
      <c r="F843" s="288">
        <f t="shared" si="23"/>
        <v>0</v>
      </c>
      <c r="H843" s="605"/>
      <c r="J843" s="606"/>
    </row>
    <row r="844" spans="1:12" s="622" customFormat="1" ht="15.75" customHeight="1">
      <c r="A844" s="615" t="s">
        <v>607</v>
      </c>
      <c r="B844" s="616" t="s">
        <v>715</v>
      </c>
      <c r="C844" s="617"/>
      <c r="D844" s="618"/>
      <c r="E844" s="661"/>
      <c r="F844" s="288">
        <f t="shared" si="23"/>
        <v>0</v>
      </c>
      <c r="G844" s="620"/>
      <c r="H844" s="621"/>
      <c r="J844" s="623"/>
    </row>
    <row r="845" spans="1:12" s="604" customFormat="1" ht="56.25" customHeight="1">
      <c r="A845" s="624"/>
      <c r="B845" s="434" t="s">
        <v>732</v>
      </c>
      <c r="C845" s="592"/>
      <c r="D845" s="593"/>
      <c r="E845" s="18"/>
      <c r="F845" s="288">
        <f t="shared" ref="F845:F908" si="24">D845*E845</f>
        <v>0</v>
      </c>
      <c r="G845" s="625"/>
      <c r="H845" s="605"/>
      <c r="J845" s="606"/>
      <c r="L845" s="604" t="s">
        <v>716</v>
      </c>
    </row>
    <row r="846" spans="1:12" s="626" customFormat="1">
      <c r="A846" s="615" t="s">
        <v>989</v>
      </c>
      <c r="B846" s="616" t="s">
        <v>610</v>
      </c>
      <c r="C846" s="597"/>
      <c r="D846" s="619"/>
      <c r="E846" s="661"/>
      <c r="F846" s="288">
        <f t="shared" si="24"/>
        <v>0</v>
      </c>
      <c r="H846" s="621"/>
      <c r="I846" s="622"/>
      <c r="J846" s="627"/>
    </row>
    <row r="847" spans="1:12" s="599" customFormat="1" ht="53.25" customHeight="1">
      <c r="A847" s="624"/>
      <c r="B847" s="434" t="s">
        <v>611</v>
      </c>
      <c r="C847" s="592"/>
      <c r="D847" s="593"/>
      <c r="E847" s="18"/>
      <c r="F847" s="288">
        <f t="shared" si="24"/>
        <v>0</v>
      </c>
      <c r="H847" s="600"/>
      <c r="I847" s="601"/>
      <c r="J847" s="602"/>
    </row>
    <row r="848" spans="1:12" s="599" customFormat="1" ht="63.75">
      <c r="A848" s="624"/>
      <c r="B848" s="434" t="s">
        <v>733</v>
      </c>
      <c r="C848" s="592"/>
      <c r="D848" s="593"/>
      <c r="E848" s="18"/>
      <c r="F848" s="288">
        <f t="shared" si="24"/>
        <v>0</v>
      </c>
      <c r="H848" s="600"/>
      <c r="I848" s="601"/>
      <c r="J848" s="602"/>
    </row>
    <row r="849" spans="1:10" s="626" customFormat="1">
      <c r="A849" s="615" t="s">
        <v>990</v>
      </c>
      <c r="B849" s="616" t="s">
        <v>613</v>
      </c>
      <c r="C849" s="597"/>
      <c r="D849" s="619"/>
      <c r="E849" s="661"/>
      <c r="F849" s="288">
        <f t="shared" si="24"/>
        <v>0</v>
      </c>
      <c r="H849" s="621"/>
      <c r="I849" s="622"/>
      <c r="J849" s="627"/>
    </row>
    <row r="850" spans="1:10" s="601" customFormat="1" ht="165.75">
      <c r="A850" s="624"/>
      <c r="B850" s="434" t="s">
        <v>734</v>
      </c>
      <c r="C850" s="628"/>
      <c r="D850" s="629"/>
      <c r="E850" s="19"/>
      <c r="F850" s="288">
        <f t="shared" si="24"/>
        <v>0</v>
      </c>
      <c r="H850" s="600"/>
      <c r="J850" s="630"/>
    </row>
    <row r="851" spans="1:10" s="601" customFormat="1" ht="165.75">
      <c r="A851" s="603"/>
      <c r="B851" s="434" t="s">
        <v>717</v>
      </c>
      <c r="C851" s="628"/>
      <c r="D851" s="629"/>
      <c r="E851" s="19"/>
      <c r="F851" s="288">
        <f t="shared" si="24"/>
        <v>0</v>
      </c>
      <c r="H851" s="600"/>
      <c r="J851" s="630"/>
    </row>
    <row r="852" spans="1:10" s="601" customFormat="1" ht="76.5">
      <c r="A852" s="603"/>
      <c r="B852" s="434" t="s">
        <v>718</v>
      </c>
      <c r="C852" s="628"/>
      <c r="D852" s="629"/>
      <c r="E852" s="19"/>
      <c r="F852" s="288">
        <f t="shared" si="24"/>
        <v>0</v>
      </c>
      <c r="H852" s="600"/>
      <c r="J852" s="630"/>
    </row>
    <row r="853" spans="1:10" s="601" customFormat="1">
      <c r="A853" s="603"/>
      <c r="B853" s="434"/>
      <c r="C853" s="628"/>
      <c r="D853" s="629"/>
      <c r="E853" s="19"/>
      <c r="F853" s="288">
        <f t="shared" si="24"/>
        <v>0</v>
      </c>
      <c r="H853" s="600"/>
      <c r="J853" s="630"/>
    </row>
    <row r="854" spans="1:10" s="571" customFormat="1" ht="30">
      <c r="A854" s="573">
        <f>IF(B854&gt;0,MAX(A$707:A822)+1,"")</f>
        <v>13</v>
      </c>
      <c r="B854" s="294" t="s">
        <v>650</v>
      </c>
      <c r="C854" s="542"/>
      <c r="D854" s="543"/>
      <c r="E854" s="655"/>
      <c r="F854" s="288">
        <f t="shared" si="24"/>
        <v>0</v>
      </c>
    </row>
    <row r="855" spans="1:10" s="571" customFormat="1" ht="144.75" customHeight="1">
      <c r="A855" s="540"/>
      <c r="B855" s="434" t="s">
        <v>936</v>
      </c>
      <c r="C855" s="542"/>
      <c r="D855" s="543"/>
      <c r="E855" s="655"/>
      <c r="F855" s="288">
        <f t="shared" si="24"/>
        <v>0</v>
      </c>
    </row>
    <row r="856" spans="1:10" s="571" customFormat="1" ht="114.75">
      <c r="A856" s="540"/>
      <c r="B856" s="434" t="s">
        <v>986</v>
      </c>
      <c r="C856" s="542"/>
      <c r="D856" s="543"/>
      <c r="E856" s="655"/>
      <c r="F856" s="288">
        <f t="shared" si="24"/>
        <v>0</v>
      </c>
    </row>
    <row r="857" spans="1:10" s="571" customFormat="1" ht="38.25">
      <c r="A857" s="540"/>
      <c r="B857" s="434" t="s">
        <v>619</v>
      </c>
      <c r="C857" s="542"/>
      <c r="D857" s="543"/>
      <c r="E857" s="655"/>
      <c r="F857" s="288">
        <f t="shared" si="24"/>
        <v>0</v>
      </c>
    </row>
    <row r="858" spans="1:10" s="571" customFormat="1">
      <c r="A858" s="540"/>
      <c r="B858" s="434" t="s">
        <v>651</v>
      </c>
      <c r="C858" s="542"/>
      <c r="D858" s="543"/>
      <c r="E858" s="655"/>
      <c r="F858" s="288">
        <f t="shared" si="24"/>
        <v>0</v>
      </c>
    </row>
    <row r="859" spans="1:10" s="571" customFormat="1">
      <c r="A859" s="540"/>
      <c r="B859" s="434" t="s">
        <v>254</v>
      </c>
      <c r="C859" s="542"/>
      <c r="D859" s="543"/>
      <c r="E859" s="655"/>
      <c r="F859" s="288">
        <f t="shared" si="24"/>
        <v>0</v>
      </c>
    </row>
    <row r="860" spans="1:10" s="571" customFormat="1" ht="40.5" customHeight="1">
      <c r="A860" s="540"/>
      <c r="B860" s="434" t="s">
        <v>652</v>
      </c>
      <c r="C860" s="530" t="s">
        <v>34</v>
      </c>
      <c r="D860" s="287">
        <v>1</v>
      </c>
      <c r="E860" s="655"/>
      <c r="F860" s="288">
        <f t="shared" si="24"/>
        <v>0</v>
      </c>
    </row>
    <row r="861" spans="1:10" s="571" customFormat="1">
      <c r="A861" s="540"/>
      <c r="B861" s="434"/>
      <c r="C861" s="542"/>
      <c r="D861" s="543"/>
      <c r="E861" s="655"/>
      <c r="F861" s="288">
        <f t="shared" si="24"/>
        <v>0</v>
      </c>
    </row>
    <row r="862" spans="1:10" s="571" customFormat="1" ht="30">
      <c r="A862" s="573">
        <f>IF(B862&gt;0,MAX(A$707:A861)+1,"")</f>
        <v>14</v>
      </c>
      <c r="B862" s="294" t="s">
        <v>2125</v>
      </c>
      <c r="C862" s="542"/>
      <c r="D862" s="543"/>
      <c r="E862" s="655"/>
      <c r="F862" s="288">
        <f t="shared" si="24"/>
        <v>0</v>
      </c>
    </row>
    <row r="863" spans="1:10" s="571" customFormat="1" ht="189" customHeight="1">
      <c r="A863" s="540"/>
      <c r="B863" s="434" t="s">
        <v>2126</v>
      </c>
      <c r="C863" s="542"/>
      <c r="D863" s="543"/>
      <c r="E863" s="655"/>
      <c r="F863" s="288">
        <f t="shared" si="24"/>
        <v>0</v>
      </c>
    </row>
    <row r="864" spans="1:10" s="571" customFormat="1" ht="114.75">
      <c r="A864" s="540"/>
      <c r="B864" s="434" t="s">
        <v>986</v>
      </c>
      <c r="C864" s="542"/>
      <c r="D864" s="543"/>
      <c r="E864" s="655"/>
      <c r="F864" s="288">
        <f t="shared" si="24"/>
        <v>0</v>
      </c>
    </row>
    <row r="865" spans="1:6" s="571" customFormat="1" ht="38.25">
      <c r="A865" s="540"/>
      <c r="B865" s="434" t="s">
        <v>619</v>
      </c>
      <c r="C865" s="542"/>
      <c r="D865" s="543"/>
      <c r="E865" s="655"/>
      <c r="F865" s="288">
        <f t="shared" si="24"/>
        <v>0</v>
      </c>
    </row>
    <row r="866" spans="1:6" s="571" customFormat="1">
      <c r="A866" s="540"/>
      <c r="B866" s="434" t="s">
        <v>642</v>
      </c>
      <c r="C866" s="542"/>
      <c r="D866" s="543"/>
      <c r="E866" s="655"/>
      <c r="F866" s="288">
        <f t="shared" si="24"/>
        <v>0</v>
      </c>
    </row>
    <row r="867" spans="1:6" s="571" customFormat="1">
      <c r="A867" s="540"/>
      <c r="B867" s="434" t="s">
        <v>653</v>
      </c>
      <c r="C867" s="542"/>
      <c r="D867" s="543"/>
      <c r="E867" s="655"/>
      <c r="F867" s="288">
        <f t="shared" si="24"/>
        <v>0</v>
      </c>
    </row>
    <row r="868" spans="1:6" s="571" customFormat="1">
      <c r="A868" s="540"/>
      <c r="B868" s="434" t="s">
        <v>254</v>
      </c>
      <c r="C868" s="542"/>
      <c r="D868" s="543"/>
      <c r="E868" s="655"/>
      <c r="F868" s="288">
        <f t="shared" si="24"/>
        <v>0</v>
      </c>
    </row>
    <row r="869" spans="1:6" s="571" customFormat="1">
      <c r="A869" s="540"/>
      <c r="B869" s="434" t="s">
        <v>659</v>
      </c>
      <c r="C869" s="542"/>
      <c r="D869" s="543"/>
      <c r="E869" s="655"/>
      <c r="F869" s="288">
        <f t="shared" si="24"/>
        <v>0</v>
      </c>
    </row>
    <row r="870" spans="1:6" s="571" customFormat="1" ht="41.25" customHeight="1">
      <c r="A870" s="540"/>
      <c r="B870" s="434" t="s">
        <v>654</v>
      </c>
      <c r="C870" s="530" t="s">
        <v>34</v>
      </c>
      <c r="D870" s="287">
        <v>1</v>
      </c>
      <c r="E870" s="655"/>
      <c r="F870" s="288">
        <f t="shared" si="24"/>
        <v>0</v>
      </c>
    </row>
    <row r="871" spans="1:6" s="571" customFormat="1" ht="40.5" customHeight="1">
      <c r="A871" s="540"/>
      <c r="B871" s="434" t="s">
        <v>655</v>
      </c>
      <c r="C871" s="530" t="s">
        <v>34</v>
      </c>
      <c r="D871" s="287">
        <v>1</v>
      </c>
      <c r="E871" s="655"/>
      <c r="F871" s="288">
        <f t="shared" si="24"/>
        <v>0</v>
      </c>
    </row>
    <row r="872" spans="1:6" s="571" customFormat="1" ht="39" customHeight="1">
      <c r="A872" s="540"/>
      <c r="B872" s="434" t="s">
        <v>656</v>
      </c>
      <c r="C872" s="530" t="s">
        <v>34</v>
      </c>
      <c r="D872" s="287">
        <v>1</v>
      </c>
      <c r="E872" s="655"/>
      <c r="F872" s="288">
        <f t="shared" si="24"/>
        <v>0</v>
      </c>
    </row>
    <row r="873" spans="1:6" s="571" customFormat="1" ht="40.5" customHeight="1">
      <c r="A873" s="540"/>
      <c r="B873" s="434" t="s">
        <v>657</v>
      </c>
      <c r="C873" s="530" t="s">
        <v>34</v>
      </c>
      <c r="D873" s="287">
        <v>1</v>
      </c>
      <c r="E873" s="655"/>
      <c r="F873" s="288">
        <f t="shared" si="24"/>
        <v>0</v>
      </c>
    </row>
    <row r="874" spans="1:6" s="571" customFormat="1">
      <c r="A874" s="540"/>
      <c r="B874" s="434" t="s">
        <v>658</v>
      </c>
      <c r="C874" s="542"/>
      <c r="D874" s="543"/>
      <c r="E874" s="655"/>
      <c r="F874" s="288">
        <f t="shared" si="24"/>
        <v>0</v>
      </c>
    </row>
    <row r="875" spans="1:6" s="571" customFormat="1" ht="41.25" customHeight="1">
      <c r="A875" s="540"/>
      <c r="B875" s="434" t="s">
        <v>660</v>
      </c>
      <c r="C875" s="530" t="s">
        <v>34</v>
      </c>
      <c r="D875" s="287">
        <v>1</v>
      </c>
      <c r="E875" s="655"/>
      <c r="F875" s="288">
        <f t="shared" si="24"/>
        <v>0</v>
      </c>
    </row>
    <row r="876" spans="1:6" s="571" customFormat="1" ht="41.25" customHeight="1">
      <c r="A876" s="540"/>
      <c r="B876" s="434" t="s">
        <v>661</v>
      </c>
      <c r="C876" s="530" t="s">
        <v>34</v>
      </c>
      <c r="D876" s="287">
        <v>1</v>
      </c>
      <c r="E876" s="655"/>
      <c r="F876" s="288">
        <f t="shared" si="24"/>
        <v>0</v>
      </c>
    </row>
    <row r="877" spans="1:6" s="571" customFormat="1">
      <c r="A877" s="540"/>
      <c r="B877" s="434"/>
      <c r="C877" s="530"/>
      <c r="D877" s="287"/>
      <c r="E877" s="655"/>
      <c r="F877" s="288">
        <f t="shared" si="24"/>
        <v>0</v>
      </c>
    </row>
    <row r="878" spans="1:6" s="571" customFormat="1" ht="45">
      <c r="A878" s="573">
        <f>IF(B878&gt;0,MAX(A$707:A877)+1,"")</f>
        <v>15</v>
      </c>
      <c r="B878" s="294" t="s">
        <v>662</v>
      </c>
      <c r="C878" s="542"/>
      <c r="D878" s="543"/>
      <c r="E878" s="655"/>
      <c r="F878" s="288">
        <f t="shared" si="24"/>
        <v>0</v>
      </c>
    </row>
    <row r="879" spans="1:6" s="571" customFormat="1" ht="180">
      <c r="A879" s="540"/>
      <c r="B879" s="434" t="s">
        <v>937</v>
      </c>
      <c r="C879" s="530"/>
      <c r="D879" s="287"/>
      <c r="E879" s="655"/>
      <c r="F879" s="288">
        <f t="shared" si="24"/>
        <v>0</v>
      </c>
    </row>
    <row r="880" spans="1:6" s="571" customFormat="1" ht="114.75">
      <c r="A880" s="540"/>
      <c r="B880" s="434" t="s">
        <v>986</v>
      </c>
      <c r="C880" s="530"/>
      <c r="D880" s="287"/>
      <c r="E880" s="655"/>
      <c r="F880" s="288">
        <f t="shared" si="24"/>
        <v>0</v>
      </c>
    </row>
    <row r="881" spans="1:6" s="571" customFormat="1" ht="28.5" customHeight="1">
      <c r="A881" s="540"/>
      <c r="B881" s="434" t="s">
        <v>619</v>
      </c>
      <c r="C881" s="542"/>
      <c r="D881" s="543"/>
      <c r="E881" s="655"/>
      <c r="F881" s="288">
        <f t="shared" si="24"/>
        <v>0</v>
      </c>
    </row>
    <row r="882" spans="1:6" s="571" customFormat="1">
      <c r="A882" s="540"/>
      <c r="B882" s="434" t="s">
        <v>642</v>
      </c>
      <c r="C882" s="542"/>
      <c r="D882" s="543"/>
      <c r="E882" s="655"/>
      <c r="F882" s="288">
        <f t="shared" si="24"/>
        <v>0</v>
      </c>
    </row>
    <row r="883" spans="1:6" s="571" customFormat="1">
      <c r="A883" s="540"/>
      <c r="B883" s="434" t="s">
        <v>663</v>
      </c>
      <c r="C883" s="542"/>
      <c r="D883" s="543"/>
      <c r="E883" s="655"/>
      <c r="F883" s="288">
        <f t="shared" si="24"/>
        <v>0</v>
      </c>
    </row>
    <row r="884" spans="1:6" s="571" customFormat="1">
      <c r="A884" s="540"/>
      <c r="B884" s="434" t="s">
        <v>254</v>
      </c>
      <c r="C884" s="542"/>
      <c r="D884" s="543"/>
      <c r="E884" s="655"/>
      <c r="F884" s="288">
        <f t="shared" si="24"/>
        <v>0</v>
      </c>
    </row>
    <row r="885" spans="1:6" s="571" customFormat="1" ht="32.25" customHeight="1">
      <c r="A885" s="540"/>
      <c r="B885" s="434" t="s">
        <v>664</v>
      </c>
      <c r="C885" s="530" t="s">
        <v>34</v>
      </c>
      <c r="D885" s="287">
        <v>2</v>
      </c>
      <c r="E885" s="655"/>
      <c r="F885" s="288">
        <f t="shared" si="24"/>
        <v>0</v>
      </c>
    </row>
    <row r="886" spans="1:6" s="571" customFormat="1">
      <c r="A886" s="540"/>
      <c r="B886" s="434"/>
      <c r="C886" s="530"/>
      <c r="D886" s="287"/>
      <c r="E886" s="655"/>
      <c r="F886" s="288">
        <f t="shared" si="24"/>
        <v>0</v>
      </c>
    </row>
    <row r="887" spans="1:6" s="571" customFormat="1" ht="30">
      <c r="A887" s="573">
        <f>IF(B887&gt;0,MAX(A$707:A885)+1,"")</f>
        <v>16</v>
      </c>
      <c r="B887" s="294" t="s">
        <v>665</v>
      </c>
      <c r="C887" s="542"/>
      <c r="D887" s="543"/>
      <c r="E887" s="655"/>
      <c r="F887" s="288">
        <f t="shared" si="24"/>
        <v>0</v>
      </c>
    </row>
    <row r="888" spans="1:6" s="571" customFormat="1" ht="129">
      <c r="A888" s="540"/>
      <c r="B888" s="434" t="s">
        <v>938</v>
      </c>
      <c r="C888" s="542"/>
      <c r="D888" s="543"/>
      <c r="E888" s="655"/>
      <c r="F888" s="288">
        <f t="shared" si="24"/>
        <v>0</v>
      </c>
    </row>
    <row r="889" spans="1:6" s="571" customFormat="1" ht="114.75">
      <c r="A889" s="540"/>
      <c r="B889" s="434" t="s">
        <v>986</v>
      </c>
      <c r="C889" s="542"/>
      <c r="D889" s="543"/>
      <c r="E889" s="655"/>
      <c r="F889" s="288">
        <f t="shared" si="24"/>
        <v>0</v>
      </c>
    </row>
    <row r="890" spans="1:6" s="571" customFormat="1" ht="38.25">
      <c r="A890" s="540"/>
      <c r="B890" s="434" t="s">
        <v>619</v>
      </c>
      <c r="C890" s="542"/>
      <c r="D890" s="543"/>
      <c r="E890" s="655"/>
      <c r="F890" s="288">
        <f t="shared" si="24"/>
        <v>0</v>
      </c>
    </row>
    <row r="891" spans="1:6" s="571" customFormat="1">
      <c r="A891" s="540"/>
      <c r="B891" s="434" t="s">
        <v>642</v>
      </c>
      <c r="C891" s="542"/>
      <c r="D891" s="543"/>
      <c r="E891" s="655"/>
      <c r="F891" s="288">
        <f t="shared" si="24"/>
        <v>0</v>
      </c>
    </row>
    <row r="892" spans="1:6" s="571" customFormat="1">
      <c r="A892" s="540"/>
      <c r="B892" s="434" t="s">
        <v>666</v>
      </c>
      <c r="C892" s="542"/>
      <c r="D892" s="543"/>
      <c r="E892" s="655"/>
      <c r="F892" s="288">
        <f t="shared" si="24"/>
        <v>0</v>
      </c>
    </row>
    <row r="893" spans="1:6" s="571" customFormat="1">
      <c r="A893" s="540"/>
      <c r="B893" s="434" t="s">
        <v>254</v>
      </c>
      <c r="C893" s="542"/>
      <c r="D893" s="543"/>
      <c r="E893" s="655"/>
      <c r="F893" s="288">
        <f t="shared" si="24"/>
        <v>0</v>
      </c>
    </row>
    <row r="894" spans="1:6" s="571" customFormat="1" ht="40.5" customHeight="1">
      <c r="A894" s="540"/>
      <c r="B894" s="434" t="s">
        <v>667</v>
      </c>
      <c r="C894" s="530" t="s">
        <v>34</v>
      </c>
      <c r="D894" s="287">
        <v>1</v>
      </c>
      <c r="E894" s="655"/>
      <c r="F894" s="288">
        <f t="shared" si="24"/>
        <v>0</v>
      </c>
    </row>
    <row r="895" spans="1:6" s="571" customFormat="1" ht="45" customHeight="1">
      <c r="A895" s="540"/>
      <c r="B895" s="434" t="s">
        <v>668</v>
      </c>
      <c r="C895" s="530" t="s">
        <v>34</v>
      </c>
      <c r="D895" s="287">
        <v>5</v>
      </c>
      <c r="E895" s="655"/>
      <c r="F895" s="288">
        <f t="shared" si="24"/>
        <v>0</v>
      </c>
    </row>
    <row r="896" spans="1:6" s="571" customFormat="1" ht="42" customHeight="1">
      <c r="A896" s="540"/>
      <c r="B896" s="434" t="s">
        <v>669</v>
      </c>
      <c r="C896" s="530" t="s">
        <v>34</v>
      </c>
      <c r="D896" s="287">
        <v>3</v>
      </c>
      <c r="E896" s="655"/>
      <c r="F896" s="288">
        <f t="shared" si="24"/>
        <v>0</v>
      </c>
    </row>
    <row r="897" spans="1:6" s="571" customFormat="1">
      <c r="A897" s="540"/>
      <c r="B897" s="434"/>
      <c r="C897" s="542"/>
      <c r="D897" s="543"/>
      <c r="E897" s="655"/>
      <c r="F897" s="288">
        <f t="shared" si="24"/>
        <v>0</v>
      </c>
    </row>
    <row r="898" spans="1:6" s="571" customFormat="1" ht="45">
      <c r="A898" s="573">
        <f>IF(B898&gt;0,MAX(A$707:A896)+1,"")</f>
        <v>17</v>
      </c>
      <c r="B898" s="294" t="s">
        <v>670</v>
      </c>
      <c r="C898" s="542"/>
      <c r="D898" s="543"/>
      <c r="E898" s="655"/>
      <c r="F898" s="288">
        <f t="shared" si="24"/>
        <v>0</v>
      </c>
    </row>
    <row r="899" spans="1:6" s="571" customFormat="1" ht="180">
      <c r="A899" s="540"/>
      <c r="B899" s="434" t="s">
        <v>939</v>
      </c>
      <c r="C899" s="530"/>
      <c r="D899" s="287"/>
      <c r="E899" s="655"/>
      <c r="F899" s="288">
        <f t="shared" si="24"/>
        <v>0</v>
      </c>
    </row>
    <row r="900" spans="1:6" s="571" customFormat="1" ht="114.75">
      <c r="A900" s="540"/>
      <c r="B900" s="434" t="s">
        <v>986</v>
      </c>
      <c r="C900" s="542"/>
      <c r="D900" s="543"/>
      <c r="E900" s="655"/>
      <c r="F900" s="288">
        <f t="shared" si="24"/>
        <v>0</v>
      </c>
    </row>
    <row r="901" spans="1:6" s="571" customFormat="1" ht="38.25">
      <c r="A901" s="540"/>
      <c r="B901" s="434" t="s">
        <v>619</v>
      </c>
      <c r="C901" s="542"/>
      <c r="D901" s="543"/>
      <c r="E901" s="655"/>
      <c r="F901" s="288">
        <f t="shared" si="24"/>
        <v>0</v>
      </c>
    </row>
    <row r="902" spans="1:6" s="571" customFormat="1">
      <c r="A902" s="540"/>
      <c r="B902" s="434" t="s">
        <v>642</v>
      </c>
      <c r="C902" s="542"/>
      <c r="D902" s="543"/>
      <c r="E902" s="655"/>
      <c r="F902" s="288">
        <f t="shared" si="24"/>
        <v>0</v>
      </c>
    </row>
    <row r="903" spans="1:6" s="571" customFormat="1">
      <c r="A903" s="540"/>
      <c r="B903" s="434" t="s">
        <v>671</v>
      </c>
      <c r="C903" s="542"/>
      <c r="D903" s="543"/>
      <c r="E903" s="655"/>
      <c r="F903" s="288">
        <f t="shared" si="24"/>
        <v>0</v>
      </c>
    </row>
    <row r="904" spans="1:6" s="571" customFormat="1">
      <c r="A904" s="540"/>
      <c r="B904" s="434" t="s">
        <v>254</v>
      </c>
      <c r="C904" s="542"/>
      <c r="D904" s="543"/>
      <c r="E904" s="655"/>
      <c r="F904" s="288">
        <f t="shared" si="24"/>
        <v>0</v>
      </c>
    </row>
    <row r="905" spans="1:6" s="571" customFormat="1" ht="39.75" customHeight="1">
      <c r="A905" s="540"/>
      <c r="B905" s="434" t="s">
        <v>672</v>
      </c>
      <c r="C905" s="530" t="s">
        <v>34</v>
      </c>
      <c r="D905" s="287">
        <v>1</v>
      </c>
      <c r="E905" s="655"/>
      <c r="F905" s="288">
        <f t="shared" si="24"/>
        <v>0</v>
      </c>
    </row>
    <row r="906" spans="1:6" s="571" customFormat="1">
      <c r="A906" s="540"/>
      <c r="B906" s="434"/>
      <c r="C906" s="530"/>
      <c r="D906" s="287"/>
      <c r="E906" s="655"/>
      <c r="F906" s="288">
        <f t="shared" si="24"/>
        <v>0</v>
      </c>
    </row>
    <row r="907" spans="1:6" s="571" customFormat="1" ht="45">
      <c r="A907" s="573">
        <f>IF(B907&gt;0,MAX(A$707:A905)+1,"")</f>
        <v>18</v>
      </c>
      <c r="B907" s="294" t="s">
        <v>673</v>
      </c>
      <c r="C907" s="542"/>
      <c r="D907" s="543"/>
      <c r="E907" s="655"/>
      <c r="F907" s="288">
        <f t="shared" si="24"/>
        <v>0</v>
      </c>
    </row>
    <row r="908" spans="1:6" s="571" customFormat="1" ht="182.25" customHeight="1">
      <c r="A908" s="540"/>
      <c r="B908" s="434" t="s">
        <v>940</v>
      </c>
      <c r="C908" s="542"/>
      <c r="D908" s="543"/>
      <c r="E908" s="655"/>
      <c r="F908" s="288">
        <f t="shared" si="24"/>
        <v>0</v>
      </c>
    </row>
    <row r="909" spans="1:6" s="571" customFormat="1" ht="114.75">
      <c r="A909" s="540"/>
      <c r="B909" s="434" t="s">
        <v>986</v>
      </c>
      <c r="C909" s="542"/>
      <c r="D909" s="543"/>
      <c r="E909" s="655"/>
      <c r="F909" s="288">
        <f t="shared" ref="F909:F972" si="25">D909*E909</f>
        <v>0</v>
      </c>
    </row>
    <row r="910" spans="1:6" s="571" customFormat="1" ht="38.25">
      <c r="A910" s="540"/>
      <c r="B910" s="434" t="s">
        <v>619</v>
      </c>
      <c r="C910" s="542"/>
      <c r="D910" s="543"/>
      <c r="E910" s="655"/>
      <c r="F910" s="288">
        <f t="shared" si="25"/>
        <v>0</v>
      </c>
    </row>
    <row r="911" spans="1:6" s="571" customFormat="1">
      <c r="A911" s="540"/>
      <c r="B911" s="434" t="s">
        <v>674</v>
      </c>
      <c r="C911" s="542"/>
      <c r="D911" s="543"/>
      <c r="E911" s="655"/>
      <c r="F911" s="288">
        <f t="shared" si="25"/>
        <v>0</v>
      </c>
    </row>
    <row r="912" spans="1:6" s="571" customFormat="1">
      <c r="A912" s="540"/>
      <c r="B912" s="434" t="s">
        <v>254</v>
      </c>
      <c r="C912" s="542"/>
      <c r="D912" s="543"/>
      <c r="E912" s="655"/>
      <c r="F912" s="288">
        <f t="shared" si="25"/>
        <v>0</v>
      </c>
    </row>
    <row r="913" spans="1:6" s="571" customFormat="1" ht="40.5" customHeight="1">
      <c r="A913" s="540"/>
      <c r="B913" s="434" t="s">
        <v>675</v>
      </c>
      <c r="C913" s="530" t="s">
        <v>34</v>
      </c>
      <c r="D913" s="287">
        <v>1</v>
      </c>
      <c r="E913" s="655"/>
      <c r="F913" s="288">
        <f t="shared" si="25"/>
        <v>0</v>
      </c>
    </row>
    <row r="914" spans="1:6" s="571" customFormat="1" ht="42" customHeight="1">
      <c r="A914" s="540"/>
      <c r="B914" s="434" t="s">
        <v>676</v>
      </c>
      <c r="C914" s="530" t="s">
        <v>34</v>
      </c>
      <c r="D914" s="287">
        <v>1</v>
      </c>
      <c r="E914" s="655"/>
      <c r="F914" s="288">
        <f t="shared" si="25"/>
        <v>0</v>
      </c>
    </row>
    <row r="915" spans="1:6" s="571" customFormat="1">
      <c r="A915" s="540"/>
      <c r="B915" s="434"/>
      <c r="C915" s="530"/>
      <c r="D915" s="287"/>
      <c r="E915" s="655"/>
      <c r="F915" s="288">
        <f t="shared" si="25"/>
        <v>0</v>
      </c>
    </row>
    <row r="916" spans="1:6" s="571" customFormat="1" ht="30">
      <c r="A916" s="573">
        <f>IF(B916&gt;0,MAX(A$707:A914)+1,"")</f>
        <v>19</v>
      </c>
      <c r="B916" s="294" t="s">
        <v>677</v>
      </c>
      <c r="C916" s="542"/>
      <c r="D916" s="543"/>
      <c r="E916" s="655"/>
      <c r="F916" s="288">
        <f t="shared" si="25"/>
        <v>0</v>
      </c>
    </row>
    <row r="917" spans="1:6" s="571" customFormat="1" ht="191.25">
      <c r="A917" s="540"/>
      <c r="B917" s="434" t="s">
        <v>678</v>
      </c>
      <c r="C917" s="530"/>
      <c r="D917" s="287"/>
      <c r="E917" s="655"/>
      <c r="F917" s="288">
        <f t="shared" si="25"/>
        <v>0</v>
      </c>
    </row>
    <row r="918" spans="1:6" s="571" customFormat="1" ht="114.75">
      <c r="A918" s="540"/>
      <c r="B918" s="434" t="s">
        <v>986</v>
      </c>
      <c r="C918" s="542"/>
      <c r="D918" s="543"/>
      <c r="E918" s="655"/>
      <c r="F918" s="288">
        <f t="shared" si="25"/>
        <v>0</v>
      </c>
    </row>
    <row r="919" spans="1:6" s="571" customFormat="1" ht="38.25">
      <c r="A919" s="540"/>
      <c r="B919" s="434" t="s">
        <v>619</v>
      </c>
      <c r="C919" s="542"/>
      <c r="D919" s="543"/>
      <c r="E919" s="655"/>
      <c r="F919" s="288">
        <f t="shared" si="25"/>
        <v>0</v>
      </c>
    </row>
    <row r="920" spans="1:6" s="571" customFormat="1">
      <c r="A920" s="540"/>
      <c r="B920" s="434" t="s">
        <v>679</v>
      </c>
      <c r="C920" s="542"/>
      <c r="D920" s="543"/>
      <c r="E920" s="655"/>
      <c r="F920" s="288">
        <f t="shared" si="25"/>
        <v>0</v>
      </c>
    </row>
    <row r="921" spans="1:6" s="571" customFormat="1">
      <c r="A921" s="540"/>
      <c r="B921" s="434" t="s">
        <v>254</v>
      </c>
      <c r="C921" s="542"/>
      <c r="D921" s="543"/>
      <c r="E921" s="655"/>
      <c r="F921" s="288">
        <f t="shared" si="25"/>
        <v>0</v>
      </c>
    </row>
    <row r="922" spans="1:6" s="571" customFormat="1" ht="29.25" customHeight="1">
      <c r="A922" s="540"/>
      <c r="B922" s="434" t="s">
        <v>680</v>
      </c>
      <c r="C922" s="530" t="s">
        <v>34</v>
      </c>
      <c r="D922" s="287">
        <v>1</v>
      </c>
      <c r="E922" s="655"/>
      <c r="F922" s="288">
        <f t="shared" si="25"/>
        <v>0</v>
      </c>
    </row>
    <row r="923" spans="1:6" s="571" customFormat="1" ht="30" customHeight="1">
      <c r="A923" s="540"/>
      <c r="B923" s="434" t="s">
        <v>681</v>
      </c>
      <c r="C923" s="530" t="s">
        <v>34</v>
      </c>
      <c r="D923" s="287">
        <v>1</v>
      </c>
      <c r="E923" s="655"/>
      <c r="F923" s="288">
        <f t="shared" si="25"/>
        <v>0</v>
      </c>
    </row>
    <row r="924" spans="1:6" s="571" customFormat="1">
      <c r="A924" s="540"/>
      <c r="B924" s="434"/>
      <c r="C924" s="530"/>
      <c r="D924" s="287"/>
      <c r="E924" s="655"/>
      <c r="F924" s="288">
        <f t="shared" si="25"/>
        <v>0</v>
      </c>
    </row>
    <row r="925" spans="1:6" s="571" customFormat="1" ht="30">
      <c r="A925" s="573">
        <f>IF(B925&gt;0,MAX(A$707:A923)+1,"")</f>
        <v>20</v>
      </c>
      <c r="B925" s="294" t="s">
        <v>682</v>
      </c>
      <c r="C925" s="542"/>
      <c r="D925" s="543"/>
      <c r="E925" s="655"/>
      <c r="F925" s="288">
        <f t="shared" si="25"/>
        <v>0</v>
      </c>
    </row>
    <row r="926" spans="1:6" s="571" customFormat="1" ht="154.5">
      <c r="A926" s="540"/>
      <c r="B926" s="434" t="s">
        <v>941</v>
      </c>
      <c r="C926" s="530"/>
      <c r="D926" s="287"/>
      <c r="E926" s="655"/>
      <c r="F926" s="288">
        <f t="shared" si="25"/>
        <v>0</v>
      </c>
    </row>
    <row r="927" spans="1:6" s="571" customFormat="1" ht="114.75">
      <c r="A927" s="540"/>
      <c r="B927" s="434" t="s">
        <v>986</v>
      </c>
      <c r="C927" s="542"/>
      <c r="D927" s="543"/>
      <c r="E927" s="655"/>
      <c r="F927" s="288">
        <f t="shared" si="25"/>
        <v>0</v>
      </c>
    </row>
    <row r="928" spans="1:6" s="571" customFormat="1" ht="38.25">
      <c r="A928" s="540"/>
      <c r="B928" s="434" t="s">
        <v>619</v>
      </c>
      <c r="C928" s="542"/>
      <c r="D928" s="543"/>
      <c r="E928" s="655"/>
      <c r="F928" s="288">
        <f t="shared" si="25"/>
        <v>0</v>
      </c>
    </row>
    <row r="929" spans="1:6" s="571" customFormat="1">
      <c r="A929" s="540"/>
      <c r="B929" s="434" t="s">
        <v>642</v>
      </c>
      <c r="C929" s="542"/>
      <c r="D929" s="543"/>
      <c r="E929" s="655"/>
      <c r="F929" s="288">
        <f t="shared" si="25"/>
        <v>0</v>
      </c>
    </row>
    <row r="930" spans="1:6" s="571" customFormat="1">
      <c r="A930" s="540"/>
      <c r="B930" s="434" t="s">
        <v>683</v>
      </c>
      <c r="C930" s="542"/>
      <c r="D930" s="543"/>
      <c r="E930" s="655"/>
      <c r="F930" s="288">
        <f t="shared" si="25"/>
        <v>0</v>
      </c>
    </row>
    <row r="931" spans="1:6" s="571" customFormat="1">
      <c r="A931" s="540"/>
      <c r="B931" s="434" t="s">
        <v>254</v>
      </c>
      <c r="C931" s="542"/>
      <c r="D931" s="543"/>
      <c r="E931" s="655"/>
      <c r="F931" s="288">
        <f t="shared" si="25"/>
        <v>0</v>
      </c>
    </row>
    <row r="932" spans="1:6" s="571" customFormat="1" ht="29.25" customHeight="1">
      <c r="A932" s="540"/>
      <c r="B932" s="434" t="s">
        <v>684</v>
      </c>
      <c r="C932" s="530" t="s">
        <v>34</v>
      </c>
      <c r="D932" s="287">
        <v>2</v>
      </c>
      <c r="E932" s="655"/>
      <c r="F932" s="288">
        <f t="shared" si="25"/>
        <v>0</v>
      </c>
    </row>
    <row r="933" spans="1:6" s="571" customFormat="1" ht="30" customHeight="1">
      <c r="A933" s="540"/>
      <c r="B933" s="434" t="s">
        <v>685</v>
      </c>
      <c r="C933" s="530" t="s">
        <v>34</v>
      </c>
      <c r="D933" s="287">
        <v>2</v>
      </c>
      <c r="E933" s="655"/>
      <c r="F933" s="288">
        <f t="shared" si="25"/>
        <v>0</v>
      </c>
    </row>
    <row r="934" spans="1:6" s="571" customFormat="1" ht="30" customHeight="1">
      <c r="A934" s="540"/>
      <c r="B934" s="434" t="s">
        <v>686</v>
      </c>
      <c r="C934" s="530" t="s">
        <v>34</v>
      </c>
      <c r="D934" s="287">
        <v>1</v>
      </c>
      <c r="E934" s="655"/>
      <c r="F934" s="288">
        <f t="shared" si="25"/>
        <v>0</v>
      </c>
    </row>
    <row r="935" spans="1:6" s="571" customFormat="1">
      <c r="A935" s="540"/>
      <c r="B935" s="434"/>
      <c r="C935" s="530"/>
      <c r="D935" s="287"/>
      <c r="E935" s="655"/>
      <c r="F935" s="288">
        <f t="shared" si="25"/>
        <v>0</v>
      </c>
    </row>
    <row r="936" spans="1:6" s="571" customFormat="1" ht="45">
      <c r="A936" s="573">
        <f>IF(B936&gt;0,MAX(A$707:A934)+1,"")</f>
        <v>21</v>
      </c>
      <c r="B936" s="294" t="s">
        <v>687</v>
      </c>
      <c r="C936" s="542"/>
      <c r="D936" s="543"/>
      <c r="E936" s="655"/>
      <c r="F936" s="288">
        <f t="shared" si="25"/>
        <v>0</v>
      </c>
    </row>
    <row r="937" spans="1:6" s="571" customFormat="1" ht="147.75" customHeight="1">
      <c r="A937" s="540"/>
      <c r="B937" s="434" t="s">
        <v>942</v>
      </c>
      <c r="C937" s="530"/>
      <c r="D937" s="287"/>
      <c r="E937" s="655"/>
      <c r="F937" s="288">
        <f t="shared" si="25"/>
        <v>0</v>
      </c>
    </row>
    <row r="938" spans="1:6" s="571" customFormat="1" ht="114.75">
      <c r="A938" s="540"/>
      <c r="B938" s="434" t="s">
        <v>986</v>
      </c>
      <c r="C938" s="542"/>
      <c r="D938" s="543"/>
      <c r="E938" s="655"/>
      <c r="F938" s="288">
        <f t="shared" si="25"/>
        <v>0</v>
      </c>
    </row>
    <row r="939" spans="1:6" s="571" customFormat="1" ht="38.25">
      <c r="A939" s="540"/>
      <c r="B939" s="434" t="s">
        <v>619</v>
      </c>
      <c r="C939" s="542"/>
      <c r="D939" s="543"/>
      <c r="E939" s="655"/>
      <c r="F939" s="288">
        <f t="shared" si="25"/>
        <v>0</v>
      </c>
    </row>
    <row r="940" spans="1:6" s="571" customFormat="1">
      <c r="A940" s="540"/>
      <c r="B940" s="434" t="s">
        <v>688</v>
      </c>
      <c r="C940" s="542"/>
      <c r="D940" s="543"/>
      <c r="E940" s="655"/>
      <c r="F940" s="288">
        <f t="shared" si="25"/>
        <v>0</v>
      </c>
    </row>
    <row r="941" spans="1:6" s="571" customFormat="1">
      <c r="A941" s="540"/>
      <c r="B941" s="434" t="s">
        <v>254</v>
      </c>
      <c r="C941" s="542"/>
      <c r="D941" s="543"/>
      <c r="E941" s="655"/>
      <c r="F941" s="288">
        <f t="shared" si="25"/>
        <v>0</v>
      </c>
    </row>
    <row r="942" spans="1:6" s="571" customFormat="1" ht="29.25" customHeight="1">
      <c r="A942" s="540"/>
      <c r="B942" s="434" t="s">
        <v>689</v>
      </c>
      <c r="C942" s="530" t="s">
        <v>34</v>
      </c>
      <c r="D942" s="287">
        <v>1</v>
      </c>
      <c r="E942" s="655"/>
      <c r="F942" s="288">
        <f t="shared" si="25"/>
        <v>0</v>
      </c>
    </row>
    <row r="943" spans="1:6" s="571" customFormat="1">
      <c r="A943" s="540"/>
      <c r="B943" s="434"/>
      <c r="C943" s="542"/>
      <c r="D943" s="543"/>
      <c r="E943" s="655"/>
      <c r="F943" s="288">
        <f t="shared" si="25"/>
        <v>0</v>
      </c>
    </row>
    <row r="944" spans="1:6" s="571" customFormat="1">
      <c r="A944" s="540"/>
      <c r="B944" s="294" t="s">
        <v>644</v>
      </c>
      <c r="C944" s="542"/>
      <c r="D944" s="543"/>
      <c r="E944" s="655"/>
      <c r="F944" s="288">
        <f t="shared" si="25"/>
        <v>0</v>
      </c>
    </row>
    <row r="945" spans="1:7" s="571" customFormat="1">
      <c r="A945" s="540"/>
      <c r="B945" s="553"/>
      <c r="C945" s="542"/>
      <c r="D945" s="543"/>
      <c r="E945" s="655"/>
      <c r="F945" s="288">
        <f t="shared" si="25"/>
        <v>0</v>
      </c>
    </row>
    <row r="946" spans="1:7" s="571" customFormat="1" ht="30">
      <c r="A946" s="573">
        <f>IF(B946&gt;0,MAX(A$707:A945)+1,"")</f>
        <v>22</v>
      </c>
      <c r="B946" s="294" t="s">
        <v>643</v>
      </c>
      <c r="C946" s="542"/>
      <c r="D946" s="543"/>
      <c r="E946" s="655"/>
      <c r="F946" s="288">
        <f t="shared" si="25"/>
        <v>0</v>
      </c>
    </row>
    <row r="947" spans="1:7" s="571" customFormat="1" ht="153">
      <c r="A947" s="540"/>
      <c r="B947" s="434" t="s">
        <v>1346</v>
      </c>
      <c r="C947" s="542"/>
      <c r="D947" s="543"/>
      <c r="E947" s="655"/>
      <c r="F947" s="288">
        <f t="shared" si="25"/>
        <v>0</v>
      </c>
    </row>
    <row r="948" spans="1:7" s="570" customFormat="1" ht="25.5">
      <c r="A948" s="284"/>
      <c r="B948" s="434" t="s">
        <v>646</v>
      </c>
      <c r="C948" s="530"/>
      <c r="D948" s="287"/>
      <c r="E948" s="13"/>
      <c r="F948" s="288">
        <f t="shared" si="25"/>
        <v>0</v>
      </c>
    </row>
    <row r="949" spans="1:7" s="570" customFormat="1" ht="76.5">
      <c r="A949" s="284"/>
      <c r="B949" s="434" t="s">
        <v>649</v>
      </c>
      <c r="C949" s="530"/>
      <c r="D949" s="287"/>
      <c r="E949" s="13"/>
      <c r="F949" s="288">
        <f t="shared" si="25"/>
        <v>0</v>
      </c>
    </row>
    <row r="950" spans="1:7" s="571" customFormat="1" ht="38.25">
      <c r="A950" s="540"/>
      <c r="B950" s="434" t="s">
        <v>619</v>
      </c>
      <c r="C950" s="542"/>
      <c r="D950" s="543"/>
      <c r="E950" s="655"/>
      <c r="F950" s="288">
        <f t="shared" si="25"/>
        <v>0</v>
      </c>
    </row>
    <row r="951" spans="1:7" s="571" customFormat="1">
      <c r="A951" s="540"/>
      <c r="B951" s="434" t="s">
        <v>645</v>
      </c>
      <c r="C951" s="542"/>
      <c r="D951" s="543"/>
      <c r="E951" s="655"/>
      <c r="F951" s="288">
        <f t="shared" si="25"/>
        <v>0</v>
      </c>
    </row>
    <row r="952" spans="1:7" s="571" customFormat="1">
      <c r="A952" s="540"/>
      <c r="B952" s="434" t="s">
        <v>254</v>
      </c>
      <c r="C952" s="542"/>
      <c r="D952" s="543"/>
      <c r="E952" s="655"/>
      <c r="F952" s="288">
        <f t="shared" si="25"/>
        <v>0</v>
      </c>
    </row>
    <row r="953" spans="1:7" s="571" customFormat="1" ht="40.5" customHeight="1">
      <c r="A953" s="540"/>
      <c r="B953" s="434" t="s">
        <v>647</v>
      </c>
      <c r="C953" s="530" t="s">
        <v>34</v>
      </c>
      <c r="D953" s="287">
        <v>1</v>
      </c>
      <c r="E953" s="655"/>
      <c r="F953" s="288">
        <f t="shared" si="25"/>
        <v>0</v>
      </c>
    </row>
    <row r="954" spans="1:7" s="571" customFormat="1" ht="42" customHeight="1">
      <c r="A954" s="540"/>
      <c r="B954" s="434" t="s">
        <v>648</v>
      </c>
      <c r="C954" s="530" t="s">
        <v>34</v>
      </c>
      <c r="D954" s="287">
        <v>1</v>
      </c>
      <c r="E954" s="655"/>
      <c r="F954" s="288">
        <f t="shared" si="25"/>
        <v>0</v>
      </c>
    </row>
    <row r="955" spans="1:7" s="571" customFormat="1">
      <c r="A955" s="540"/>
      <c r="B955" s="553"/>
      <c r="C955" s="542"/>
      <c r="D955" s="543"/>
      <c r="E955" s="655"/>
      <c r="F955" s="288">
        <f t="shared" si="25"/>
        <v>0</v>
      </c>
    </row>
    <row r="956" spans="1:7" s="571" customFormat="1">
      <c r="A956" s="631"/>
      <c r="B956" s="294" t="s">
        <v>73</v>
      </c>
      <c r="C956" s="542"/>
      <c r="D956" s="543"/>
      <c r="E956" s="655"/>
      <c r="F956" s="288">
        <f t="shared" si="25"/>
        <v>0</v>
      </c>
      <c r="G956" s="308"/>
    </row>
    <row r="957" spans="1:7" s="571" customFormat="1">
      <c r="A957" s="540"/>
      <c r="B957" s="553"/>
      <c r="C957" s="542"/>
      <c r="D957" s="543"/>
      <c r="E957" s="655"/>
      <c r="F957" s="288">
        <f t="shared" si="25"/>
        <v>0</v>
      </c>
    </row>
    <row r="958" spans="1:7" s="571" customFormat="1" ht="30">
      <c r="A958" s="573">
        <f>IF(B958&gt;0,MAX(A$707:A957)+1,"")</f>
        <v>23</v>
      </c>
      <c r="B958" s="294" t="s">
        <v>5612</v>
      </c>
      <c r="C958" s="542"/>
      <c r="D958" s="543"/>
      <c r="E958" s="655"/>
      <c r="F958" s="288">
        <f t="shared" si="25"/>
        <v>0</v>
      </c>
    </row>
    <row r="959" spans="1:7" s="570" customFormat="1" ht="114.75">
      <c r="A959" s="284"/>
      <c r="B959" s="434" t="s">
        <v>1464</v>
      </c>
      <c r="C959" s="530"/>
      <c r="D959" s="287"/>
      <c r="E959" s="13"/>
      <c r="F959" s="288">
        <f t="shared" si="25"/>
        <v>0</v>
      </c>
    </row>
    <row r="960" spans="1:7" s="570" customFormat="1" ht="25.5">
      <c r="A960" s="284"/>
      <c r="B960" s="434" t="s">
        <v>709</v>
      </c>
      <c r="C960" s="530"/>
      <c r="D960" s="287"/>
      <c r="E960" s="13"/>
      <c r="F960" s="288">
        <f t="shared" si="25"/>
        <v>0</v>
      </c>
    </row>
    <row r="961" spans="1:6" s="570" customFormat="1" ht="76.5">
      <c r="A961" s="284"/>
      <c r="B961" s="434" t="s">
        <v>649</v>
      </c>
      <c r="C961" s="530"/>
      <c r="D961" s="287"/>
      <c r="E961" s="13"/>
      <c r="F961" s="288">
        <f t="shared" si="25"/>
        <v>0</v>
      </c>
    </row>
    <row r="962" spans="1:6" s="571" customFormat="1" ht="38.25">
      <c r="A962" s="540"/>
      <c r="B962" s="434" t="s">
        <v>619</v>
      </c>
      <c r="C962" s="542"/>
      <c r="D962" s="543"/>
      <c r="E962" s="655"/>
      <c r="F962" s="288">
        <f t="shared" si="25"/>
        <v>0</v>
      </c>
    </row>
    <row r="963" spans="1:6" s="570" customFormat="1">
      <c r="A963" s="284"/>
      <c r="B963" s="434" t="s">
        <v>1334</v>
      </c>
      <c r="C963" s="530"/>
      <c r="D963" s="287"/>
      <c r="E963" s="13"/>
      <c r="F963" s="288">
        <f t="shared" si="25"/>
        <v>0</v>
      </c>
    </row>
    <row r="964" spans="1:6" s="570" customFormat="1" ht="25.5">
      <c r="A964" s="284"/>
      <c r="B964" s="434" t="s">
        <v>943</v>
      </c>
      <c r="C964" s="530" t="s">
        <v>34</v>
      </c>
      <c r="D964" s="287">
        <v>20</v>
      </c>
      <c r="E964" s="13"/>
      <c r="F964" s="288">
        <f t="shared" si="25"/>
        <v>0</v>
      </c>
    </row>
    <row r="965" spans="1:6" s="570" customFormat="1" ht="25.5">
      <c r="A965" s="284"/>
      <c r="B965" s="434" t="s">
        <v>944</v>
      </c>
      <c r="C965" s="530" t="s">
        <v>34</v>
      </c>
      <c r="D965" s="287">
        <v>12</v>
      </c>
      <c r="E965" s="13"/>
      <c r="F965" s="288">
        <f t="shared" si="25"/>
        <v>0</v>
      </c>
    </row>
    <row r="966" spans="1:6" s="571" customFormat="1">
      <c r="A966" s="540"/>
      <c r="B966" s="553"/>
      <c r="C966" s="542"/>
      <c r="D966" s="543"/>
      <c r="E966" s="655"/>
      <c r="F966" s="288">
        <f t="shared" si="25"/>
        <v>0</v>
      </c>
    </row>
    <row r="967" spans="1:6" s="571" customFormat="1">
      <c r="A967" s="573">
        <f>IF(B967&gt;0,MAX(A$707:A966)+1,"")</f>
        <v>24</v>
      </c>
      <c r="B967" s="294" t="s">
        <v>5517</v>
      </c>
      <c r="C967" s="542"/>
      <c r="D967" s="543"/>
      <c r="E967" s="655"/>
      <c r="F967" s="288">
        <f t="shared" si="25"/>
        <v>0</v>
      </c>
    </row>
    <row r="968" spans="1:6" s="570" customFormat="1" ht="38.25">
      <c r="A968" s="284"/>
      <c r="B968" s="434" t="s">
        <v>1340</v>
      </c>
      <c r="C968" s="530"/>
      <c r="D968" s="287"/>
      <c r="E968" s="13"/>
      <c r="F968" s="288">
        <f t="shared" si="25"/>
        <v>0</v>
      </c>
    </row>
    <row r="969" spans="1:6" s="570" customFormat="1">
      <c r="A969" s="284"/>
      <c r="B969" s="434" t="s">
        <v>1332</v>
      </c>
      <c r="C969" s="530"/>
      <c r="D969" s="287"/>
      <c r="E969" s="13"/>
      <c r="F969" s="288">
        <f t="shared" si="25"/>
        <v>0</v>
      </c>
    </row>
    <row r="970" spans="1:6" s="570" customFormat="1" ht="25.5">
      <c r="A970" s="284"/>
      <c r="B970" s="434" t="s">
        <v>1342</v>
      </c>
      <c r="C970" s="530"/>
      <c r="D970" s="287"/>
      <c r="E970" s="13"/>
      <c r="F970" s="288">
        <f t="shared" si="25"/>
        <v>0</v>
      </c>
    </row>
    <row r="971" spans="1:6" s="570" customFormat="1" ht="76.5">
      <c r="A971" s="284"/>
      <c r="B971" s="434" t="s">
        <v>1349</v>
      </c>
      <c r="C971" s="530"/>
      <c r="D971" s="287"/>
      <c r="E971" s="13"/>
      <c r="F971" s="288">
        <f t="shared" si="25"/>
        <v>0</v>
      </c>
    </row>
    <row r="972" spans="1:6" s="570" customFormat="1">
      <c r="A972" s="284"/>
      <c r="B972" s="632" t="s">
        <v>124</v>
      </c>
      <c r="C972" s="530"/>
      <c r="D972" s="287"/>
      <c r="E972" s="13"/>
      <c r="F972" s="288">
        <f t="shared" si="25"/>
        <v>0</v>
      </c>
    </row>
    <row r="973" spans="1:6" s="570" customFormat="1">
      <c r="A973" s="284"/>
      <c r="B973" s="434" t="s">
        <v>1333</v>
      </c>
      <c r="C973" s="530"/>
      <c r="D973" s="287"/>
      <c r="E973" s="13"/>
      <c r="F973" s="288">
        <f t="shared" ref="F973:F1035" si="26">D973*E973</f>
        <v>0</v>
      </c>
    </row>
    <row r="974" spans="1:6" s="570" customFormat="1" ht="25.5">
      <c r="A974" s="284"/>
      <c r="B974" s="434" t="s">
        <v>1335</v>
      </c>
      <c r="C974" s="530" t="s">
        <v>34</v>
      </c>
      <c r="D974" s="287">
        <v>2</v>
      </c>
      <c r="E974" s="13"/>
      <c r="F974" s="288">
        <f t="shared" si="26"/>
        <v>0</v>
      </c>
    </row>
    <row r="975" spans="1:6" s="570" customFormat="1" ht="25.5">
      <c r="A975" s="284"/>
      <c r="B975" s="434" t="s">
        <v>1336</v>
      </c>
      <c r="C975" s="530" t="s">
        <v>34</v>
      </c>
      <c r="D975" s="287">
        <v>35</v>
      </c>
      <c r="E975" s="13"/>
      <c r="F975" s="288">
        <f t="shared" si="26"/>
        <v>0</v>
      </c>
    </row>
    <row r="976" spans="1:6" s="570" customFormat="1">
      <c r="A976" s="284"/>
      <c r="B976" s="434" t="s">
        <v>1337</v>
      </c>
      <c r="C976" s="530" t="s">
        <v>34</v>
      </c>
      <c r="D976" s="287">
        <v>10</v>
      </c>
      <c r="E976" s="13"/>
      <c r="F976" s="288">
        <f t="shared" si="26"/>
        <v>0</v>
      </c>
    </row>
    <row r="977" spans="1:7" s="571" customFormat="1">
      <c r="A977" s="540"/>
      <c r="B977" s="553"/>
      <c r="C977" s="542"/>
      <c r="D977" s="543"/>
      <c r="E977" s="655"/>
      <c r="F977" s="288">
        <f t="shared" si="26"/>
        <v>0</v>
      </c>
    </row>
    <row r="978" spans="1:7" s="571" customFormat="1">
      <c r="A978" s="573">
        <f>IF(B978&gt;0,MAX(A$707:A977)+1,"")</f>
        <v>25</v>
      </c>
      <c r="B978" s="294" t="s">
        <v>1338</v>
      </c>
      <c r="C978" s="542"/>
      <c r="D978" s="543"/>
      <c r="E978" s="655"/>
      <c r="F978" s="288">
        <f t="shared" si="26"/>
        <v>0</v>
      </c>
    </row>
    <row r="979" spans="1:7" s="570" customFormat="1" ht="51">
      <c r="A979" s="284"/>
      <c r="B979" s="434" t="s">
        <v>1339</v>
      </c>
      <c r="C979" s="530"/>
      <c r="D979" s="287"/>
      <c r="E979" s="13"/>
      <c r="F979" s="288">
        <f t="shared" si="26"/>
        <v>0</v>
      </c>
    </row>
    <row r="980" spans="1:7" s="570" customFormat="1" ht="25.5">
      <c r="A980" s="284"/>
      <c r="B980" s="434" t="s">
        <v>1341</v>
      </c>
      <c r="C980" s="530"/>
      <c r="D980" s="287"/>
      <c r="E980" s="13"/>
      <c r="F980" s="288">
        <f t="shared" si="26"/>
        <v>0</v>
      </c>
    </row>
    <row r="981" spans="1:7" s="570" customFormat="1" ht="25.5">
      <c r="A981" s="284"/>
      <c r="B981" s="434" t="s">
        <v>4608</v>
      </c>
      <c r="C981" s="530"/>
      <c r="D981" s="287"/>
      <c r="E981" s="13"/>
      <c r="F981" s="288">
        <f t="shared" si="26"/>
        <v>0</v>
      </c>
    </row>
    <row r="982" spans="1:7" s="570" customFormat="1" ht="17.25" customHeight="1">
      <c r="A982" s="284"/>
      <c r="B982" s="434" t="s">
        <v>1343</v>
      </c>
      <c r="C982" s="530"/>
      <c r="D982" s="287"/>
      <c r="E982" s="13"/>
      <c r="F982" s="288">
        <f t="shared" si="26"/>
        <v>0</v>
      </c>
    </row>
    <row r="983" spans="1:7" s="570" customFormat="1" ht="76.5">
      <c r="A983" s="284"/>
      <c r="B983" s="434" t="s">
        <v>1348</v>
      </c>
      <c r="C983" s="530"/>
      <c r="D983" s="287"/>
      <c r="E983" s="13"/>
      <c r="F983" s="288">
        <f t="shared" si="26"/>
        <v>0</v>
      </c>
    </row>
    <row r="984" spans="1:7" s="570" customFormat="1" ht="63.75">
      <c r="A984" s="284"/>
      <c r="B984" s="434" t="s">
        <v>1347</v>
      </c>
      <c r="C984" s="530"/>
      <c r="D984" s="287"/>
      <c r="E984" s="13"/>
      <c r="F984" s="288">
        <f t="shared" si="26"/>
        <v>0</v>
      </c>
    </row>
    <row r="985" spans="1:7" s="570" customFormat="1">
      <c r="A985" s="284"/>
      <c r="B985" s="632" t="s">
        <v>124</v>
      </c>
      <c r="C985" s="530"/>
      <c r="D985" s="287"/>
      <c r="E985" s="13"/>
      <c r="F985" s="288">
        <f t="shared" si="26"/>
        <v>0</v>
      </c>
    </row>
    <row r="986" spans="1:7" s="570" customFormat="1">
      <c r="A986" s="284"/>
      <c r="B986" s="434" t="s">
        <v>83</v>
      </c>
      <c r="C986" s="530"/>
      <c r="D986" s="287"/>
      <c r="E986" s="13"/>
      <c r="F986" s="288">
        <f t="shared" si="26"/>
        <v>0</v>
      </c>
    </row>
    <row r="987" spans="1:7" s="570" customFormat="1">
      <c r="A987" s="284"/>
      <c r="B987" s="434" t="s">
        <v>5518</v>
      </c>
      <c r="C987" s="530" t="s">
        <v>123</v>
      </c>
      <c r="D987" s="287">
        <v>1</v>
      </c>
      <c r="E987" s="13"/>
      <c r="F987" s="288">
        <f t="shared" si="26"/>
        <v>0</v>
      </c>
    </row>
    <row r="988" spans="1:7" s="570" customFormat="1">
      <c r="A988" s="284"/>
      <c r="B988" s="434" t="s">
        <v>5519</v>
      </c>
      <c r="C988" s="530" t="s">
        <v>123</v>
      </c>
      <c r="D988" s="287">
        <v>1</v>
      </c>
      <c r="E988" s="13"/>
      <c r="F988" s="288">
        <f t="shared" si="26"/>
        <v>0</v>
      </c>
    </row>
    <row r="989" spans="1:7" s="570" customFormat="1">
      <c r="A989" s="284"/>
      <c r="B989" s="434"/>
      <c r="C989" s="530"/>
      <c r="D989" s="287"/>
      <c r="E989" s="13"/>
      <c r="F989" s="288">
        <f t="shared" si="26"/>
        <v>0</v>
      </c>
    </row>
    <row r="990" spans="1:7" s="571" customFormat="1">
      <c r="A990" s="573">
        <f>IF(B990&gt;0,MAX(A$707:A989)+1,"")</f>
        <v>26</v>
      </c>
      <c r="B990" s="294" t="s">
        <v>1351</v>
      </c>
      <c r="C990" s="542"/>
      <c r="D990" s="543"/>
      <c r="E990" s="655"/>
      <c r="F990" s="288">
        <f t="shared" si="26"/>
        <v>0</v>
      </c>
      <c r="G990" s="308"/>
    </row>
    <row r="991" spans="1:7" s="571" customFormat="1" ht="63.75">
      <c r="A991" s="540"/>
      <c r="B991" s="434" t="s">
        <v>1960</v>
      </c>
      <c r="C991" s="542"/>
      <c r="D991" s="543"/>
      <c r="E991" s="655"/>
      <c r="F991" s="288">
        <f t="shared" si="26"/>
        <v>0</v>
      </c>
    </row>
    <row r="992" spans="1:7" s="571" customFormat="1" ht="40.5" customHeight="1">
      <c r="A992" s="540"/>
      <c r="B992" s="434" t="s">
        <v>1352</v>
      </c>
      <c r="C992" s="542"/>
      <c r="D992" s="543"/>
      <c r="E992" s="655"/>
      <c r="F992" s="288">
        <f t="shared" si="26"/>
        <v>0</v>
      </c>
    </row>
    <row r="993" spans="1:6" s="570" customFormat="1" ht="76.5">
      <c r="A993" s="284"/>
      <c r="B993" s="434" t="s">
        <v>1348</v>
      </c>
      <c r="C993" s="530"/>
      <c r="D993" s="287"/>
      <c r="E993" s="13"/>
      <c r="F993" s="288">
        <f t="shared" si="26"/>
        <v>0</v>
      </c>
    </row>
    <row r="994" spans="1:6" s="570" customFormat="1" ht="25.5">
      <c r="A994" s="284"/>
      <c r="B994" s="434" t="s">
        <v>1961</v>
      </c>
      <c r="C994" s="530"/>
      <c r="D994" s="287"/>
      <c r="E994" s="13"/>
      <c r="F994" s="288">
        <f t="shared" si="26"/>
        <v>0</v>
      </c>
    </row>
    <row r="995" spans="1:6" s="570" customFormat="1">
      <c r="A995" s="284"/>
      <c r="B995" s="632" t="s">
        <v>124</v>
      </c>
      <c r="C995" s="530"/>
      <c r="D995" s="287"/>
      <c r="E995" s="13"/>
      <c r="F995" s="288">
        <f t="shared" si="26"/>
        <v>0</v>
      </c>
    </row>
    <row r="996" spans="1:6" s="570" customFormat="1">
      <c r="A996" s="284"/>
      <c r="B996" s="434" t="s">
        <v>83</v>
      </c>
      <c r="C996" s="530"/>
      <c r="D996" s="287"/>
      <c r="E996" s="13"/>
      <c r="F996" s="288">
        <f t="shared" si="26"/>
        <v>0</v>
      </c>
    </row>
    <row r="997" spans="1:6" s="570" customFormat="1">
      <c r="A997" s="284"/>
      <c r="B997" s="434" t="s">
        <v>5520</v>
      </c>
      <c r="C997" s="530" t="s">
        <v>123</v>
      </c>
      <c r="D997" s="287">
        <v>1</v>
      </c>
      <c r="E997" s="13"/>
      <c r="F997" s="288">
        <f t="shared" si="26"/>
        <v>0</v>
      </c>
    </row>
    <row r="998" spans="1:6" s="570" customFormat="1">
      <c r="A998" s="284"/>
      <c r="B998" s="434" t="s">
        <v>1350</v>
      </c>
      <c r="C998" s="530" t="s">
        <v>123</v>
      </c>
      <c r="D998" s="287">
        <v>1</v>
      </c>
      <c r="E998" s="13"/>
      <c r="F998" s="288">
        <f t="shared" si="26"/>
        <v>0</v>
      </c>
    </row>
    <row r="999" spans="1:6" s="571" customFormat="1">
      <c r="A999" s="540"/>
      <c r="B999" s="567"/>
      <c r="C999" s="542"/>
      <c r="D999" s="543"/>
      <c r="E999" s="655"/>
      <c r="F999" s="288">
        <f t="shared" si="26"/>
        <v>0</v>
      </c>
    </row>
    <row r="1000" spans="1:6" s="571" customFormat="1">
      <c r="A1000" s="573">
        <f>IF(B1000&gt;0,MAX(A$707:A999)+1,"")</f>
        <v>27</v>
      </c>
      <c r="B1000" s="294" t="s">
        <v>5521</v>
      </c>
      <c r="C1000" s="542"/>
      <c r="D1000" s="543"/>
      <c r="E1000" s="655"/>
      <c r="F1000" s="288">
        <f t="shared" si="26"/>
        <v>0</v>
      </c>
    </row>
    <row r="1001" spans="1:6" s="571" customFormat="1" ht="51">
      <c r="A1001" s="540"/>
      <c r="B1001" s="434" t="s">
        <v>1962</v>
      </c>
      <c r="C1001" s="542"/>
      <c r="D1001" s="543"/>
      <c r="E1001" s="655"/>
      <c r="F1001" s="288">
        <f t="shared" si="26"/>
        <v>0</v>
      </c>
    </row>
    <row r="1002" spans="1:6" s="570" customFormat="1" ht="76.5">
      <c r="A1002" s="284"/>
      <c r="B1002" s="434" t="s">
        <v>1348</v>
      </c>
      <c r="C1002" s="530"/>
      <c r="D1002" s="287"/>
      <c r="E1002" s="13"/>
      <c r="F1002" s="288">
        <f t="shared" si="26"/>
        <v>0</v>
      </c>
    </row>
    <row r="1003" spans="1:6" s="570" customFormat="1">
      <c r="A1003" s="284"/>
      <c r="B1003" s="632" t="s">
        <v>124</v>
      </c>
      <c r="C1003" s="530"/>
      <c r="D1003" s="287"/>
      <c r="E1003" s="13"/>
      <c r="F1003" s="288">
        <f t="shared" si="26"/>
        <v>0</v>
      </c>
    </row>
    <row r="1004" spans="1:6" s="570" customFormat="1">
      <c r="A1004" s="284"/>
      <c r="B1004" s="434" t="s">
        <v>463</v>
      </c>
      <c r="C1004" s="530" t="s">
        <v>27</v>
      </c>
      <c r="D1004" s="287">
        <v>111.5</v>
      </c>
      <c r="E1004" s="13"/>
      <c r="F1004" s="288">
        <f t="shared" si="26"/>
        <v>0</v>
      </c>
    </row>
    <row r="1005" spans="1:6" s="570" customFormat="1">
      <c r="A1005" s="284"/>
      <c r="B1005" s="434"/>
      <c r="C1005" s="530"/>
      <c r="D1005" s="287"/>
      <c r="E1005" s="13"/>
      <c r="F1005" s="288">
        <f t="shared" si="26"/>
        <v>0</v>
      </c>
    </row>
    <row r="1006" spans="1:6" s="570" customFormat="1">
      <c r="A1006" s="284"/>
      <c r="B1006" s="294" t="s">
        <v>1875</v>
      </c>
      <c r="C1006" s="530"/>
      <c r="D1006" s="287"/>
      <c r="E1006" s="13"/>
      <c r="F1006" s="288">
        <f t="shared" si="26"/>
        <v>0</v>
      </c>
    </row>
    <row r="1007" spans="1:6" s="570" customFormat="1">
      <c r="A1007" s="284"/>
      <c r="B1007" s="434"/>
      <c r="C1007" s="530"/>
      <c r="D1007" s="287"/>
      <c r="E1007" s="13"/>
      <c r="F1007" s="288">
        <f t="shared" si="26"/>
        <v>0</v>
      </c>
    </row>
    <row r="1008" spans="1:6" s="570" customFormat="1">
      <c r="A1008" s="573">
        <f>IF(B1008&gt;0,MAX(A$707:A1007)+1,"")</f>
        <v>28</v>
      </c>
      <c r="B1008" s="294" t="s">
        <v>1876</v>
      </c>
      <c r="C1008" s="530"/>
      <c r="D1008" s="287"/>
      <c r="E1008" s="13"/>
      <c r="F1008" s="288">
        <f t="shared" si="26"/>
        <v>0</v>
      </c>
    </row>
    <row r="1009" spans="1:6" s="570" customFormat="1">
      <c r="A1009" s="284"/>
      <c r="B1009" s="434" t="s">
        <v>1877</v>
      </c>
      <c r="C1009" s="530"/>
      <c r="D1009" s="287"/>
      <c r="E1009" s="13"/>
      <c r="F1009" s="288">
        <f t="shared" si="26"/>
        <v>0</v>
      </c>
    </row>
    <row r="1010" spans="1:6" s="570" customFormat="1" ht="140.25">
      <c r="A1010" s="284"/>
      <c r="B1010" s="434" t="s">
        <v>2120</v>
      </c>
      <c r="C1010" s="530"/>
      <c r="D1010" s="287"/>
      <c r="E1010" s="13"/>
      <c r="F1010" s="288">
        <f t="shared" si="26"/>
        <v>0</v>
      </c>
    </row>
    <row r="1011" spans="1:6" s="571" customFormat="1" ht="102">
      <c r="A1011" s="540"/>
      <c r="B1011" s="434" t="s">
        <v>1882</v>
      </c>
      <c r="C1011" s="542"/>
      <c r="D1011" s="543"/>
      <c r="E1011" s="655"/>
      <c r="F1011" s="288">
        <f t="shared" si="26"/>
        <v>0</v>
      </c>
    </row>
    <row r="1012" spans="1:6" s="571" customFormat="1" ht="38.25">
      <c r="A1012" s="540"/>
      <c r="B1012" s="434" t="s">
        <v>619</v>
      </c>
      <c r="C1012" s="542"/>
      <c r="D1012" s="543"/>
      <c r="E1012" s="655"/>
      <c r="F1012" s="288">
        <f t="shared" si="26"/>
        <v>0</v>
      </c>
    </row>
    <row r="1013" spans="1:6" s="570" customFormat="1">
      <c r="A1013" s="284"/>
      <c r="B1013" s="434" t="s">
        <v>242</v>
      </c>
      <c r="C1013" s="530"/>
      <c r="D1013" s="287"/>
      <c r="E1013" s="13"/>
      <c r="F1013" s="288">
        <f t="shared" si="26"/>
        <v>0</v>
      </c>
    </row>
    <row r="1014" spans="1:6" s="570" customFormat="1">
      <c r="A1014" s="284"/>
      <c r="B1014" s="434" t="s">
        <v>1878</v>
      </c>
      <c r="C1014" s="530" t="s">
        <v>26</v>
      </c>
      <c r="D1014" s="287">
        <v>22.1</v>
      </c>
      <c r="E1014" s="13"/>
      <c r="F1014" s="288">
        <f t="shared" si="26"/>
        <v>0</v>
      </c>
    </row>
    <row r="1015" spans="1:6" s="570" customFormat="1">
      <c r="A1015" s="284"/>
      <c r="B1015" s="434" t="s">
        <v>1879</v>
      </c>
      <c r="C1015" s="530" t="s">
        <v>26</v>
      </c>
      <c r="D1015" s="287">
        <v>22.1</v>
      </c>
      <c r="E1015" s="13"/>
      <c r="F1015" s="288">
        <f t="shared" si="26"/>
        <v>0</v>
      </c>
    </row>
    <row r="1016" spans="1:6" s="571" customFormat="1">
      <c r="A1016" s="540"/>
      <c r="B1016" s="567"/>
      <c r="C1016" s="542"/>
      <c r="D1016" s="543"/>
      <c r="E1016" s="655"/>
      <c r="F1016" s="288">
        <f t="shared" si="26"/>
        <v>0</v>
      </c>
    </row>
    <row r="1017" spans="1:6" s="570" customFormat="1">
      <c r="A1017" s="573">
        <f>IF(B1017&gt;0,MAX(A$707:A1016)+1,"")</f>
        <v>29</v>
      </c>
      <c r="B1017" s="294" t="s">
        <v>1880</v>
      </c>
      <c r="C1017" s="530"/>
      <c r="D1017" s="287"/>
      <c r="E1017" s="13"/>
      <c r="F1017" s="288">
        <f t="shared" si="26"/>
        <v>0</v>
      </c>
    </row>
    <row r="1018" spans="1:6" s="570" customFormat="1" ht="63.75">
      <c r="A1018" s="573"/>
      <c r="B1018" s="434" t="s">
        <v>2121</v>
      </c>
      <c r="C1018" s="530"/>
      <c r="D1018" s="287"/>
      <c r="E1018" s="13"/>
      <c r="F1018" s="288">
        <f t="shared" si="26"/>
        <v>0</v>
      </c>
    </row>
    <row r="1019" spans="1:6" s="571" customFormat="1" ht="102">
      <c r="A1019" s="540"/>
      <c r="B1019" s="434" t="s">
        <v>1882</v>
      </c>
      <c r="C1019" s="542"/>
      <c r="D1019" s="543"/>
      <c r="E1019" s="655"/>
      <c r="F1019" s="288">
        <f t="shared" si="26"/>
        <v>0</v>
      </c>
    </row>
    <row r="1020" spans="1:6" s="571" customFormat="1" ht="38.25">
      <c r="A1020" s="540"/>
      <c r="B1020" s="434" t="s">
        <v>619</v>
      </c>
      <c r="C1020" s="542"/>
      <c r="D1020" s="543"/>
      <c r="E1020" s="655"/>
      <c r="F1020" s="288">
        <f t="shared" si="26"/>
        <v>0</v>
      </c>
    </row>
    <row r="1021" spans="1:6" s="570" customFormat="1">
      <c r="A1021" s="284"/>
      <c r="B1021" s="434" t="s">
        <v>242</v>
      </c>
      <c r="C1021" s="530" t="s">
        <v>26</v>
      </c>
      <c r="D1021" s="287">
        <v>6.5</v>
      </c>
      <c r="E1021" s="13"/>
      <c r="F1021" s="288">
        <f t="shared" si="26"/>
        <v>0</v>
      </c>
    </row>
    <row r="1022" spans="1:6" s="570" customFormat="1">
      <c r="A1022" s="573"/>
      <c r="B1022" s="294"/>
      <c r="C1022" s="530"/>
      <c r="D1022" s="287"/>
      <c r="E1022" s="13"/>
      <c r="F1022" s="288">
        <f t="shared" si="26"/>
        <v>0</v>
      </c>
    </row>
    <row r="1023" spans="1:6" s="570" customFormat="1" ht="30">
      <c r="A1023" s="573">
        <f>IF(B1023&gt;0,MAX(A$707:A1022)+1,"")</f>
        <v>30</v>
      </c>
      <c r="B1023" s="294" t="s">
        <v>5522</v>
      </c>
      <c r="C1023" s="530"/>
      <c r="D1023" s="287"/>
      <c r="E1023" s="13"/>
      <c r="F1023" s="288">
        <f t="shared" si="26"/>
        <v>0</v>
      </c>
    </row>
    <row r="1024" spans="1:6" s="570" customFormat="1" ht="58.5" customHeight="1">
      <c r="A1024" s="573"/>
      <c r="B1024" s="434" t="s">
        <v>1881</v>
      </c>
      <c r="C1024" s="530"/>
      <c r="D1024" s="287"/>
      <c r="E1024" s="13"/>
      <c r="F1024" s="288">
        <f t="shared" si="26"/>
        <v>0</v>
      </c>
    </row>
    <row r="1025" spans="1:6" s="571" customFormat="1" ht="102">
      <c r="A1025" s="540"/>
      <c r="B1025" s="434" t="s">
        <v>1882</v>
      </c>
      <c r="C1025" s="542"/>
      <c r="D1025" s="543"/>
      <c r="E1025" s="655"/>
      <c r="F1025" s="288">
        <f t="shared" si="26"/>
        <v>0</v>
      </c>
    </row>
    <row r="1026" spans="1:6" s="571" customFormat="1" ht="38.25">
      <c r="A1026" s="540"/>
      <c r="B1026" s="434" t="s">
        <v>619</v>
      </c>
      <c r="C1026" s="542"/>
      <c r="D1026" s="543"/>
      <c r="E1026" s="655"/>
      <c r="F1026" s="288">
        <f t="shared" si="26"/>
        <v>0</v>
      </c>
    </row>
    <row r="1027" spans="1:6" s="570" customFormat="1">
      <c r="A1027" s="284"/>
      <c r="B1027" s="434" t="s">
        <v>242</v>
      </c>
      <c r="C1027" s="530"/>
      <c r="D1027" s="287"/>
      <c r="E1027" s="13"/>
      <c r="F1027" s="288">
        <f t="shared" si="26"/>
        <v>0</v>
      </c>
    </row>
    <row r="1028" spans="1:6" s="570" customFormat="1">
      <c r="A1028" s="284"/>
      <c r="B1028" s="434" t="s">
        <v>2122</v>
      </c>
      <c r="C1028" s="530" t="s">
        <v>26</v>
      </c>
      <c r="D1028" s="287">
        <f>16</f>
        <v>16</v>
      </c>
      <c r="E1028" s="13"/>
      <c r="F1028" s="288">
        <f t="shared" si="26"/>
        <v>0</v>
      </c>
    </row>
    <row r="1029" spans="1:6" s="570" customFormat="1">
      <c r="A1029" s="284"/>
      <c r="B1029" s="434" t="s">
        <v>2123</v>
      </c>
      <c r="C1029" s="530" t="s">
        <v>26</v>
      </c>
      <c r="D1029" s="287">
        <v>16</v>
      </c>
      <c r="E1029" s="13"/>
      <c r="F1029" s="288">
        <f t="shared" si="26"/>
        <v>0</v>
      </c>
    </row>
    <row r="1030" spans="1:6" s="570" customFormat="1">
      <c r="A1030" s="573"/>
      <c r="B1030" s="434"/>
      <c r="C1030" s="530"/>
      <c r="D1030" s="287"/>
      <c r="E1030" s="13"/>
      <c r="F1030" s="288">
        <f t="shared" si="26"/>
        <v>0</v>
      </c>
    </row>
    <row r="1031" spans="1:6" s="570" customFormat="1">
      <c r="A1031" s="573">
        <f>IF(B1031&gt;0,MAX(A$707:A1030)+1,"")</f>
        <v>31</v>
      </c>
      <c r="B1031" s="294" t="s">
        <v>5523</v>
      </c>
      <c r="C1031" s="530"/>
      <c r="D1031" s="287"/>
      <c r="E1031" s="13"/>
      <c r="F1031" s="288">
        <f t="shared" si="26"/>
        <v>0</v>
      </c>
    </row>
    <row r="1032" spans="1:6" s="570" customFormat="1" ht="90.75" customHeight="1">
      <c r="A1032" s="573"/>
      <c r="B1032" s="434" t="s">
        <v>1883</v>
      </c>
      <c r="C1032" s="530"/>
      <c r="D1032" s="287"/>
      <c r="E1032" s="13"/>
      <c r="F1032" s="288">
        <f t="shared" si="26"/>
        <v>0</v>
      </c>
    </row>
    <row r="1033" spans="1:6" s="571" customFormat="1" ht="102">
      <c r="A1033" s="540"/>
      <c r="B1033" s="434" t="s">
        <v>1882</v>
      </c>
      <c r="C1033" s="542"/>
      <c r="D1033" s="543"/>
      <c r="E1033" s="655"/>
      <c r="F1033" s="288">
        <f t="shared" si="26"/>
        <v>0</v>
      </c>
    </row>
    <row r="1034" spans="1:6" s="571" customFormat="1" ht="38.25">
      <c r="A1034" s="540"/>
      <c r="B1034" s="434" t="s">
        <v>619</v>
      </c>
      <c r="C1034" s="542"/>
      <c r="D1034" s="543"/>
      <c r="E1034" s="655"/>
      <c r="F1034" s="288">
        <f t="shared" si="26"/>
        <v>0</v>
      </c>
    </row>
    <row r="1035" spans="1:6" s="571" customFormat="1">
      <c r="A1035" s="540"/>
      <c r="B1035" s="434" t="s">
        <v>254</v>
      </c>
      <c r="C1035" s="530" t="s">
        <v>34</v>
      </c>
      <c r="D1035" s="287">
        <v>3</v>
      </c>
      <c r="E1035" s="655"/>
      <c r="F1035" s="288">
        <f t="shared" si="26"/>
        <v>0</v>
      </c>
    </row>
    <row r="1036" spans="1:6" s="571" customFormat="1">
      <c r="A1036" s="540"/>
      <c r="B1036" s="434"/>
      <c r="C1036" s="542"/>
      <c r="D1036" s="543"/>
      <c r="E1036" s="655"/>
      <c r="F1036" s="288">
        <f t="shared" ref="F1036:F1061" si="27">D1036*E1036</f>
        <v>0</v>
      </c>
    </row>
    <row r="1037" spans="1:6" s="570" customFormat="1">
      <c r="A1037" s="573">
        <f>IF(B1037&gt;0,MAX(A$707:A1036)+1,"")</f>
        <v>32</v>
      </c>
      <c r="B1037" s="294" t="s">
        <v>5524</v>
      </c>
      <c r="C1037" s="530"/>
      <c r="D1037" s="287"/>
      <c r="E1037" s="13"/>
      <c r="F1037" s="288">
        <f t="shared" si="27"/>
        <v>0</v>
      </c>
    </row>
    <row r="1038" spans="1:6" s="571" customFormat="1" ht="63.75">
      <c r="A1038" s="540"/>
      <c r="B1038" s="434" t="s">
        <v>2124</v>
      </c>
      <c r="C1038" s="542"/>
      <c r="D1038" s="543"/>
      <c r="E1038" s="655"/>
      <c r="F1038" s="288">
        <f t="shared" si="27"/>
        <v>0</v>
      </c>
    </row>
    <row r="1039" spans="1:6" s="571" customFormat="1" ht="102">
      <c r="A1039" s="540"/>
      <c r="B1039" s="434" t="s">
        <v>1882</v>
      </c>
      <c r="C1039" s="542"/>
      <c r="D1039" s="543"/>
      <c r="E1039" s="655"/>
      <c r="F1039" s="288">
        <f t="shared" si="27"/>
        <v>0</v>
      </c>
    </row>
    <row r="1040" spans="1:6" s="571" customFormat="1" ht="38.25">
      <c r="A1040" s="540"/>
      <c r="B1040" s="434" t="s">
        <v>619</v>
      </c>
      <c r="C1040" s="542"/>
      <c r="D1040" s="543"/>
      <c r="E1040" s="655"/>
      <c r="F1040" s="288">
        <f t="shared" si="27"/>
        <v>0</v>
      </c>
    </row>
    <row r="1041" spans="1:8" s="571" customFormat="1">
      <c r="A1041" s="540"/>
      <c r="B1041" s="434" t="s">
        <v>128</v>
      </c>
      <c r="C1041" s="530"/>
      <c r="D1041" s="287"/>
      <c r="E1041" s="655"/>
      <c r="F1041" s="288">
        <f t="shared" si="27"/>
        <v>0</v>
      </c>
    </row>
    <row r="1042" spans="1:8" s="571" customFormat="1">
      <c r="A1042" s="540"/>
      <c r="B1042" s="434" t="s">
        <v>1884</v>
      </c>
      <c r="C1042" s="530" t="s">
        <v>26</v>
      </c>
      <c r="D1042" s="287">
        <f>6.8*2</f>
        <v>13.6</v>
      </c>
      <c r="E1042" s="655"/>
      <c r="F1042" s="288">
        <f t="shared" si="27"/>
        <v>0</v>
      </c>
    </row>
    <row r="1043" spans="1:8" s="571" customFormat="1">
      <c r="A1043" s="540"/>
      <c r="B1043" s="434" t="s">
        <v>1885</v>
      </c>
      <c r="C1043" s="530" t="s">
        <v>26</v>
      </c>
      <c r="D1043" s="287">
        <v>16.2</v>
      </c>
      <c r="E1043" s="655"/>
      <c r="F1043" s="288">
        <f t="shared" si="27"/>
        <v>0</v>
      </c>
    </row>
    <row r="1044" spans="1:8" s="571" customFormat="1">
      <c r="A1044" s="540"/>
      <c r="B1044" s="434"/>
      <c r="C1044" s="530"/>
      <c r="D1044" s="287"/>
      <c r="E1044" s="655"/>
      <c r="F1044" s="288">
        <f t="shared" si="27"/>
        <v>0</v>
      </c>
    </row>
    <row r="1045" spans="1:8" s="570" customFormat="1">
      <c r="A1045" s="573">
        <f>IF(B1045&gt;0,MAX(A$707:A1044)+1,"")</f>
        <v>33</v>
      </c>
      <c r="B1045" s="294" t="s">
        <v>1886</v>
      </c>
      <c r="C1045" s="530"/>
      <c r="D1045" s="287"/>
      <c r="E1045" s="13"/>
      <c r="F1045" s="288">
        <f t="shared" si="27"/>
        <v>0</v>
      </c>
    </row>
    <row r="1046" spans="1:8" s="571" customFormat="1" ht="51">
      <c r="A1046" s="540"/>
      <c r="B1046" s="434" t="s">
        <v>1887</v>
      </c>
      <c r="C1046" s="530"/>
      <c r="D1046" s="287"/>
      <c r="E1046" s="655"/>
      <c r="F1046" s="288">
        <f t="shared" si="27"/>
        <v>0</v>
      </c>
    </row>
    <row r="1047" spans="1:8" s="571" customFormat="1" ht="102">
      <c r="A1047" s="540"/>
      <c r="B1047" s="434" t="s">
        <v>1882</v>
      </c>
      <c r="C1047" s="542"/>
      <c r="D1047" s="543"/>
      <c r="E1047" s="655"/>
      <c r="F1047" s="288">
        <f t="shared" si="27"/>
        <v>0</v>
      </c>
    </row>
    <row r="1048" spans="1:8" s="571" customFormat="1" ht="38.25">
      <c r="A1048" s="540"/>
      <c r="B1048" s="434" t="s">
        <v>619</v>
      </c>
      <c r="C1048" s="542"/>
      <c r="D1048" s="543"/>
      <c r="E1048" s="655"/>
      <c r="F1048" s="288">
        <f t="shared" si="27"/>
        <v>0</v>
      </c>
    </row>
    <row r="1049" spans="1:8" s="571" customFormat="1">
      <c r="A1049" s="540"/>
      <c r="B1049" s="434" t="s">
        <v>128</v>
      </c>
      <c r="C1049" s="530" t="s">
        <v>26</v>
      </c>
      <c r="D1049" s="287">
        <v>5.2</v>
      </c>
      <c r="E1049" s="655"/>
      <c r="F1049" s="288">
        <f t="shared" si="27"/>
        <v>0</v>
      </c>
    </row>
    <row r="1050" spans="1:8" s="571" customFormat="1">
      <c r="A1050" s="540"/>
      <c r="B1050" s="434"/>
      <c r="C1050" s="530"/>
      <c r="D1050" s="287"/>
      <c r="E1050" s="655"/>
      <c r="F1050" s="288">
        <f t="shared" si="27"/>
        <v>0</v>
      </c>
    </row>
    <row r="1051" spans="1:8" s="571" customFormat="1">
      <c r="A1051" s="540"/>
      <c r="B1051" s="294" t="s">
        <v>1353</v>
      </c>
      <c r="C1051" s="542"/>
      <c r="D1051" s="543"/>
      <c r="E1051" s="655"/>
      <c r="F1051" s="288">
        <f t="shared" si="27"/>
        <v>0</v>
      </c>
      <c r="H1051" s="308"/>
    </row>
    <row r="1052" spans="1:8" s="571" customFormat="1">
      <c r="A1052" s="540"/>
      <c r="B1052" s="567"/>
      <c r="C1052" s="542"/>
      <c r="D1052" s="543"/>
      <c r="E1052" s="655"/>
      <c r="F1052" s="288">
        <f t="shared" si="27"/>
        <v>0</v>
      </c>
      <c r="H1052" s="308"/>
    </row>
    <row r="1053" spans="1:8" s="571" customFormat="1">
      <c r="A1053" s="573">
        <f>IF(B1053&gt;0,MAX(A$707:A1052)+1,"")</f>
        <v>34</v>
      </c>
      <c r="B1053" s="294" t="s">
        <v>1354</v>
      </c>
      <c r="C1053" s="542"/>
      <c r="D1053" s="543"/>
      <c r="E1053" s="655"/>
      <c r="F1053" s="288">
        <f t="shared" si="27"/>
        <v>0</v>
      </c>
    </row>
    <row r="1054" spans="1:8" s="571" customFormat="1" ht="51">
      <c r="A1054" s="540"/>
      <c r="B1054" s="434" t="s">
        <v>1963</v>
      </c>
      <c r="C1054" s="542"/>
      <c r="D1054" s="543"/>
      <c r="E1054" s="655"/>
      <c r="F1054" s="288">
        <f t="shared" si="27"/>
        <v>0</v>
      </c>
    </row>
    <row r="1055" spans="1:8" s="571" customFormat="1" ht="38.25">
      <c r="A1055" s="540"/>
      <c r="B1055" s="434" t="s">
        <v>1355</v>
      </c>
      <c r="C1055" s="542"/>
      <c r="D1055" s="543"/>
      <c r="E1055" s="655"/>
      <c r="F1055" s="288">
        <f t="shared" si="27"/>
        <v>0</v>
      </c>
    </row>
    <row r="1056" spans="1:8" s="570" customFormat="1">
      <c r="A1056" s="284"/>
      <c r="B1056" s="434" t="s">
        <v>83</v>
      </c>
      <c r="C1056" s="530" t="s">
        <v>123</v>
      </c>
      <c r="D1056" s="287">
        <v>1</v>
      </c>
      <c r="E1056" s="13"/>
      <c r="F1056" s="288">
        <f t="shared" si="27"/>
        <v>0</v>
      </c>
    </row>
    <row r="1057" spans="1:6" s="570" customFormat="1">
      <c r="A1057" s="284"/>
      <c r="B1057" s="434"/>
      <c r="C1057" s="530"/>
      <c r="D1057" s="287"/>
      <c r="E1057" s="13"/>
      <c r="F1057" s="288">
        <f t="shared" si="27"/>
        <v>0</v>
      </c>
    </row>
    <row r="1058" spans="1:6" s="570" customFormat="1">
      <c r="A1058" s="573">
        <f>IF(B1058&gt;0,MAX(A$707:A1057)+1,"")</f>
        <v>35</v>
      </c>
      <c r="B1058" s="294" t="s">
        <v>2116</v>
      </c>
      <c r="C1058" s="530"/>
      <c r="D1058" s="287"/>
      <c r="E1058" s="13"/>
      <c r="F1058" s="288">
        <f t="shared" si="27"/>
        <v>0</v>
      </c>
    </row>
    <row r="1059" spans="1:6" s="570" customFormat="1" ht="51">
      <c r="A1059" s="284"/>
      <c r="B1059" s="434" t="s">
        <v>2115</v>
      </c>
      <c r="C1059" s="530"/>
      <c r="D1059" s="287"/>
      <c r="E1059" s="13"/>
      <c r="F1059" s="288">
        <f t="shared" si="27"/>
        <v>0</v>
      </c>
    </row>
    <row r="1060" spans="1:6" s="570" customFormat="1">
      <c r="A1060" s="284"/>
      <c r="B1060" s="434" t="s">
        <v>83</v>
      </c>
      <c r="C1060" s="530" t="s">
        <v>123</v>
      </c>
      <c r="D1060" s="287">
        <v>1</v>
      </c>
      <c r="E1060" s="13"/>
      <c r="F1060" s="288">
        <f t="shared" si="27"/>
        <v>0</v>
      </c>
    </row>
    <row r="1061" spans="1:6" s="570" customFormat="1">
      <c r="A1061" s="284"/>
      <c r="B1061" s="434"/>
      <c r="C1061" s="530"/>
      <c r="D1061" s="287"/>
      <c r="E1061" s="13"/>
      <c r="F1061" s="288">
        <f t="shared" si="27"/>
        <v>0</v>
      </c>
    </row>
    <row r="1062" spans="1:6" s="570" customFormat="1">
      <c r="A1062" s="289" t="s">
        <v>113</v>
      </c>
      <c r="B1062" s="290" t="s">
        <v>110</v>
      </c>
      <c r="C1062" s="534"/>
      <c r="D1062" s="535"/>
      <c r="E1062" s="654"/>
      <c r="F1062" s="536">
        <f>SUM(F709:F1061)</f>
        <v>0</v>
      </c>
    </row>
    <row r="1063" spans="1:6" s="571" customFormat="1">
      <c r="A1063" s="540"/>
      <c r="B1063" s="483"/>
      <c r="C1063" s="544"/>
      <c r="D1063" s="316"/>
      <c r="E1063" s="352"/>
      <c r="F1063" s="307"/>
    </row>
    <row r="1064" spans="1:6" s="570" customFormat="1">
      <c r="A1064" s="289" t="s">
        <v>111</v>
      </c>
      <c r="B1064" s="290" t="s">
        <v>125</v>
      </c>
      <c r="C1064" s="534"/>
      <c r="D1064" s="535"/>
      <c r="E1064" s="654"/>
      <c r="F1064" s="536"/>
    </row>
    <row r="1065" spans="1:6" s="570" customFormat="1">
      <c r="A1065" s="284"/>
      <c r="B1065" s="406"/>
      <c r="C1065" s="539"/>
      <c r="D1065" s="318"/>
      <c r="E1065" s="45"/>
      <c r="F1065" s="302"/>
    </row>
    <row r="1066" spans="1:6" s="570" customFormat="1">
      <c r="A1066" s="284"/>
      <c r="B1066" s="294" t="s">
        <v>735</v>
      </c>
      <c r="C1066" s="530"/>
      <c r="D1066" s="287"/>
      <c r="E1066" s="13"/>
      <c r="F1066" s="302">
        <f>E1066*D1066</f>
        <v>0</v>
      </c>
    </row>
    <row r="1067" spans="1:6" s="570" customFormat="1">
      <c r="A1067" s="284"/>
      <c r="B1067" s="294"/>
      <c r="C1067" s="530"/>
      <c r="D1067" s="287"/>
      <c r="E1067" s="13"/>
      <c r="F1067" s="302">
        <f>E1067*D1067</f>
        <v>0</v>
      </c>
    </row>
    <row r="1068" spans="1:6" s="570" customFormat="1" ht="31.5" customHeight="1">
      <c r="A1068" s="633">
        <v>1</v>
      </c>
      <c r="B1068" s="294" t="s">
        <v>736</v>
      </c>
      <c r="C1068" s="539"/>
      <c r="D1068" s="318"/>
      <c r="E1068" s="45"/>
      <c r="F1068" s="302">
        <f>E1068*D1068</f>
        <v>0</v>
      </c>
    </row>
    <row r="1069" spans="1:6" s="570" customFormat="1" ht="38.25">
      <c r="A1069" s="633"/>
      <c r="B1069" s="406" t="s">
        <v>737</v>
      </c>
      <c r="C1069" s="539"/>
      <c r="D1069" s="318"/>
      <c r="E1069" s="45"/>
      <c r="F1069" s="302">
        <f>E1069*D1069</f>
        <v>0</v>
      </c>
    </row>
    <row r="1070" spans="1:6" s="570" customFormat="1">
      <c r="A1070" s="633"/>
      <c r="B1070" s="406" t="s">
        <v>738</v>
      </c>
      <c r="C1070" s="539"/>
      <c r="D1070" s="318"/>
      <c r="E1070" s="45"/>
      <c r="F1070" s="302"/>
    </row>
    <row r="1071" spans="1:6" s="570" customFormat="1">
      <c r="A1071" s="633"/>
      <c r="B1071" s="406" t="s">
        <v>739</v>
      </c>
      <c r="C1071" s="539"/>
      <c r="D1071" s="318"/>
      <c r="E1071" s="45"/>
      <c r="F1071" s="302"/>
    </row>
    <row r="1072" spans="1:6" s="570" customFormat="1">
      <c r="A1072" s="633"/>
      <c r="B1072" s="406" t="s">
        <v>741</v>
      </c>
      <c r="C1072" s="539"/>
      <c r="D1072" s="318"/>
      <c r="E1072" s="45"/>
      <c r="F1072" s="302"/>
    </row>
    <row r="1073" spans="1:6" s="570" customFormat="1" ht="106.5" customHeight="1">
      <c r="A1073" s="633"/>
      <c r="B1073" s="406" t="s">
        <v>754</v>
      </c>
      <c r="C1073" s="539"/>
      <c r="D1073" s="318"/>
      <c r="E1073" s="45"/>
      <c r="F1073" s="302"/>
    </row>
    <row r="1074" spans="1:6" s="570" customFormat="1" ht="51">
      <c r="A1074" s="633"/>
      <c r="B1074" s="406" t="s">
        <v>759</v>
      </c>
      <c r="C1074" s="539"/>
      <c r="D1074" s="318"/>
      <c r="E1074" s="45"/>
      <c r="F1074" s="302"/>
    </row>
    <row r="1075" spans="1:6" s="570" customFormat="1" ht="76.5">
      <c r="A1075" s="284"/>
      <c r="B1075" s="434" t="s">
        <v>649</v>
      </c>
      <c r="C1075" s="530"/>
      <c r="D1075" s="287"/>
      <c r="E1075" s="13"/>
      <c r="F1075" s="288"/>
    </row>
    <row r="1076" spans="1:6" s="571" customFormat="1" ht="28.5" customHeight="1">
      <c r="A1076" s="540"/>
      <c r="B1076" s="434" t="s">
        <v>619</v>
      </c>
      <c r="C1076" s="542"/>
      <c r="D1076" s="543"/>
      <c r="E1076" s="655"/>
      <c r="F1076" s="566"/>
    </row>
    <row r="1077" spans="1:6" s="571" customFormat="1" ht="38.25">
      <c r="A1077" s="634"/>
      <c r="B1077" s="406" t="s">
        <v>945</v>
      </c>
      <c r="C1077" s="544"/>
      <c r="D1077" s="316"/>
      <c r="E1077" s="352"/>
      <c r="F1077" s="307"/>
    </row>
    <row r="1078" spans="1:6" s="571" customFormat="1">
      <c r="A1078" s="540"/>
      <c r="B1078" s="434" t="s">
        <v>622</v>
      </c>
      <c r="C1078" s="542"/>
      <c r="D1078" s="543"/>
      <c r="E1078" s="655"/>
      <c r="F1078" s="566"/>
    </row>
    <row r="1079" spans="1:6" s="571" customFormat="1">
      <c r="A1079" s="540"/>
      <c r="B1079" s="434" t="s">
        <v>254</v>
      </c>
      <c r="C1079" s="542"/>
      <c r="D1079" s="543"/>
      <c r="E1079" s="655"/>
      <c r="F1079" s="566"/>
    </row>
    <row r="1080" spans="1:6" s="571" customFormat="1" ht="25.5">
      <c r="A1080" s="634"/>
      <c r="B1080" s="406" t="s">
        <v>740</v>
      </c>
      <c r="C1080" s="539" t="s">
        <v>34</v>
      </c>
      <c r="D1080" s="318">
        <v>2</v>
      </c>
      <c r="E1080" s="45"/>
      <c r="F1080" s="302">
        <f>D1080*E1080</f>
        <v>0</v>
      </c>
    </row>
    <row r="1081" spans="1:6" s="571" customFormat="1">
      <c r="A1081" s="634"/>
      <c r="B1081" s="483"/>
      <c r="C1081" s="544"/>
      <c r="D1081" s="316"/>
      <c r="E1081" s="352"/>
      <c r="F1081" s="302">
        <f t="shared" ref="F1081:F1144" si="28">D1081*E1081</f>
        <v>0</v>
      </c>
    </row>
    <row r="1082" spans="1:6" s="570" customFormat="1" ht="31.5" customHeight="1">
      <c r="A1082" s="633">
        <v>2</v>
      </c>
      <c r="B1082" s="294" t="s">
        <v>742</v>
      </c>
      <c r="C1082" s="539"/>
      <c r="D1082" s="318"/>
      <c r="E1082" s="45"/>
      <c r="F1082" s="302">
        <f t="shared" si="28"/>
        <v>0</v>
      </c>
    </row>
    <row r="1083" spans="1:6" s="570" customFormat="1" ht="38.25">
      <c r="A1083" s="633"/>
      <c r="B1083" s="406" t="s">
        <v>737</v>
      </c>
      <c r="C1083" s="539"/>
      <c r="D1083" s="318"/>
      <c r="E1083" s="45"/>
      <c r="F1083" s="302">
        <f t="shared" si="28"/>
        <v>0</v>
      </c>
    </row>
    <row r="1084" spans="1:6" s="570" customFormat="1">
      <c r="A1084" s="633"/>
      <c r="B1084" s="406" t="s">
        <v>738</v>
      </c>
      <c r="C1084" s="539"/>
      <c r="D1084" s="318"/>
      <c r="E1084" s="45"/>
      <c r="F1084" s="302">
        <f t="shared" si="28"/>
        <v>0</v>
      </c>
    </row>
    <row r="1085" spans="1:6" s="570" customFormat="1">
      <c r="A1085" s="633"/>
      <c r="B1085" s="406" t="s">
        <v>739</v>
      </c>
      <c r="C1085" s="539"/>
      <c r="D1085" s="318"/>
      <c r="E1085" s="45"/>
      <c r="F1085" s="302">
        <f t="shared" si="28"/>
        <v>0</v>
      </c>
    </row>
    <row r="1086" spans="1:6" s="570" customFormat="1">
      <c r="A1086" s="633"/>
      <c r="B1086" s="406" t="s">
        <v>741</v>
      </c>
      <c r="C1086" s="539"/>
      <c r="D1086" s="318"/>
      <c r="E1086" s="45"/>
      <c r="F1086" s="302">
        <f t="shared" si="28"/>
        <v>0</v>
      </c>
    </row>
    <row r="1087" spans="1:6" s="570" customFormat="1" ht="84" customHeight="1">
      <c r="A1087" s="633"/>
      <c r="B1087" s="406" t="s">
        <v>743</v>
      </c>
      <c r="C1087" s="539"/>
      <c r="D1087" s="318"/>
      <c r="E1087" s="45"/>
      <c r="F1087" s="302">
        <f t="shared" si="28"/>
        <v>0</v>
      </c>
    </row>
    <row r="1088" spans="1:6" s="570" customFormat="1" ht="51">
      <c r="A1088" s="633"/>
      <c r="B1088" s="406" t="s">
        <v>759</v>
      </c>
      <c r="C1088" s="539"/>
      <c r="D1088" s="318"/>
      <c r="E1088" s="45"/>
      <c r="F1088" s="302">
        <f t="shared" si="28"/>
        <v>0</v>
      </c>
    </row>
    <row r="1089" spans="1:6" s="570" customFormat="1" ht="76.5">
      <c r="A1089" s="284"/>
      <c r="B1089" s="434" t="s">
        <v>649</v>
      </c>
      <c r="C1089" s="530"/>
      <c r="D1089" s="287"/>
      <c r="E1089" s="13"/>
      <c r="F1089" s="302">
        <f t="shared" si="28"/>
        <v>0</v>
      </c>
    </row>
    <row r="1090" spans="1:6" s="571" customFormat="1" ht="28.5" customHeight="1">
      <c r="A1090" s="540"/>
      <c r="B1090" s="434" t="s">
        <v>619</v>
      </c>
      <c r="C1090" s="542"/>
      <c r="D1090" s="543"/>
      <c r="E1090" s="655"/>
      <c r="F1090" s="302">
        <f t="shared" si="28"/>
        <v>0</v>
      </c>
    </row>
    <row r="1091" spans="1:6" s="571" customFormat="1" ht="38.25">
      <c r="A1091" s="634"/>
      <c r="B1091" s="406" t="s">
        <v>945</v>
      </c>
      <c r="C1091" s="544"/>
      <c r="D1091" s="316"/>
      <c r="E1091" s="352"/>
      <c r="F1091" s="302">
        <f t="shared" si="28"/>
        <v>0</v>
      </c>
    </row>
    <row r="1092" spans="1:6" s="571" customFormat="1">
      <c r="A1092" s="540"/>
      <c r="B1092" s="434" t="s">
        <v>626</v>
      </c>
      <c r="C1092" s="542"/>
      <c r="D1092" s="543"/>
      <c r="E1092" s="655"/>
      <c r="F1092" s="302">
        <f t="shared" si="28"/>
        <v>0</v>
      </c>
    </row>
    <row r="1093" spans="1:6" s="571" customFormat="1">
      <c r="A1093" s="540"/>
      <c r="B1093" s="434" t="s">
        <v>254</v>
      </c>
      <c r="C1093" s="542"/>
      <c r="D1093" s="543"/>
      <c r="E1093" s="655"/>
      <c r="F1093" s="302">
        <f t="shared" si="28"/>
        <v>0</v>
      </c>
    </row>
    <row r="1094" spans="1:6" s="571" customFormat="1" ht="25.5">
      <c r="A1094" s="634"/>
      <c r="B1094" s="406" t="s">
        <v>744</v>
      </c>
      <c r="C1094" s="539" t="s">
        <v>34</v>
      </c>
      <c r="D1094" s="318">
        <v>1</v>
      </c>
      <c r="E1094" s="352"/>
      <c r="F1094" s="302">
        <f t="shared" si="28"/>
        <v>0</v>
      </c>
    </row>
    <row r="1095" spans="1:6" s="571" customFormat="1">
      <c r="A1095" s="634"/>
      <c r="B1095" s="483"/>
      <c r="C1095" s="544"/>
      <c r="D1095" s="316"/>
      <c r="E1095" s="352"/>
      <c r="F1095" s="302">
        <f t="shared" si="28"/>
        <v>0</v>
      </c>
    </row>
    <row r="1096" spans="1:6" s="570" customFormat="1" ht="32.25" customHeight="1">
      <c r="A1096" s="633">
        <v>3</v>
      </c>
      <c r="B1096" s="294" t="s">
        <v>745</v>
      </c>
      <c r="C1096" s="539"/>
      <c r="D1096" s="318"/>
      <c r="E1096" s="45"/>
      <c r="F1096" s="302">
        <f t="shared" si="28"/>
        <v>0</v>
      </c>
    </row>
    <row r="1097" spans="1:6" s="570" customFormat="1" ht="38.25">
      <c r="A1097" s="633"/>
      <c r="B1097" s="406" t="s">
        <v>946</v>
      </c>
      <c r="C1097" s="539"/>
      <c r="D1097" s="318"/>
      <c r="E1097" s="45"/>
      <c r="F1097" s="302">
        <f t="shared" si="28"/>
        <v>0</v>
      </c>
    </row>
    <row r="1098" spans="1:6" s="570" customFormat="1" ht="25.5">
      <c r="A1098" s="633"/>
      <c r="B1098" s="406" t="s">
        <v>746</v>
      </c>
      <c r="C1098" s="539"/>
      <c r="D1098" s="318"/>
      <c r="E1098" s="45"/>
      <c r="F1098" s="302">
        <f t="shared" si="28"/>
        <v>0</v>
      </c>
    </row>
    <row r="1099" spans="1:6" s="570" customFormat="1">
      <c r="A1099" s="633"/>
      <c r="B1099" s="406" t="s">
        <v>739</v>
      </c>
      <c r="C1099" s="539"/>
      <c r="D1099" s="318"/>
      <c r="E1099" s="45"/>
      <c r="F1099" s="302">
        <f t="shared" si="28"/>
        <v>0</v>
      </c>
    </row>
    <row r="1100" spans="1:6" s="570" customFormat="1">
      <c r="A1100" s="633"/>
      <c r="B1100" s="406" t="s">
        <v>747</v>
      </c>
      <c r="C1100" s="539"/>
      <c r="D1100" s="318"/>
      <c r="E1100" s="45"/>
      <c r="F1100" s="302">
        <f t="shared" si="28"/>
        <v>0</v>
      </c>
    </row>
    <row r="1101" spans="1:6" s="570" customFormat="1" ht="94.5" customHeight="1">
      <c r="A1101" s="633"/>
      <c r="B1101" s="406" t="s">
        <v>748</v>
      </c>
      <c r="C1101" s="539"/>
      <c r="D1101" s="318"/>
      <c r="E1101" s="45"/>
      <c r="F1101" s="302">
        <f t="shared" si="28"/>
        <v>0</v>
      </c>
    </row>
    <row r="1102" spans="1:6" s="570" customFormat="1" ht="51">
      <c r="A1102" s="633"/>
      <c r="B1102" s="406" t="s">
        <v>759</v>
      </c>
      <c r="C1102" s="539"/>
      <c r="D1102" s="318"/>
      <c r="E1102" s="45"/>
      <c r="F1102" s="302">
        <f t="shared" si="28"/>
        <v>0</v>
      </c>
    </row>
    <row r="1103" spans="1:6" s="570" customFormat="1" ht="76.5">
      <c r="A1103" s="284"/>
      <c r="B1103" s="434" t="s">
        <v>649</v>
      </c>
      <c r="C1103" s="530"/>
      <c r="D1103" s="287"/>
      <c r="E1103" s="13"/>
      <c r="F1103" s="302">
        <f t="shared" si="28"/>
        <v>0</v>
      </c>
    </row>
    <row r="1104" spans="1:6" s="571" customFormat="1" ht="28.5" customHeight="1">
      <c r="A1104" s="540"/>
      <c r="B1104" s="434" t="s">
        <v>619</v>
      </c>
      <c r="C1104" s="542"/>
      <c r="D1104" s="543"/>
      <c r="E1104" s="655"/>
      <c r="F1104" s="302">
        <f t="shared" si="28"/>
        <v>0</v>
      </c>
    </row>
    <row r="1105" spans="1:6" s="571" customFormat="1" ht="38.25">
      <c r="A1105" s="634"/>
      <c r="B1105" s="406" t="s">
        <v>945</v>
      </c>
      <c r="C1105" s="544"/>
      <c r="D1105" s="316"/>
      <c r="E1105" s="352"/>
      <c r="F1105" s="302">
        <f t="shared" si="28"/>
        <v>0</v>
      </c>
    </row>
    <row r="1106" spans="1:6" s="571" customFormat="1">
      <c r="A1106" s="540"/>
      <c r="B1106" s="434" t="s">
        <v>630</v>
      </c>
      <c r="C1106" s="542"/>
      <c r="D1106" s="543"/>
      <c r="E1106" s="655"/>
      <c r="F1106" s="302">
        <f t="shared" si="28"/>
        <v>0</v>
      </c>
    </row>
    <row r="1107" spans="1:6" s="571" customFormat="1">
      <c r="A1107" s="540"/>
      <c r="B1107" s="434" t="s">
        <v>254</v>
      </c>
      <c r="C1107" s="542"/>
      <c r="D1107" s="543"/>
      <c r="E1107" s="655"/>
      <c r="F1107" s="302">
        <f t="shared" si="28"/>
        <v>0</v>
      </c>
    </row>
    <row r="1108" spans="1:6" s="571" customFormat="1" ht="25.5">
      <c r="A1108" s="634"/>
      <c r="B1108" s="406" t="s">
        <v>749</v>
      </c>
      <c r="C1108" s="539" t="s">
        <v>34</v>
      </c>
      <c r="D1108" s="318">
        <v>1</v>
      </c>
      <c r="E1108" s="352"/>
      <c r="F1108" s="302">
        <f t="shared" si="28"/>
        <v>0</v>
      </c>
    </row>
    <row r="1109" spans="1:6" s="571" customFormat="1">
      <c r="A1109" s="634"/>
      <c r="B1109" s="483"/>
      <c r="C1109" s="544"/>
      <c r="D1109" s="316"/>
      <c r="E1109" s="352"/>
      <c r="F1109" s="302">
        <f t="shared" si="28"/>
        <v>0</v>
      </c>
    </row>
    <row r="1110" spans="1:6" s="570" customFormat="1" ht="30">
      <c r="A1110" s="633">
        <v>4</v>
      </c>
      <c r="B1110" s="294" t="s">
        <v>2131</v>
      </c>
      <c r="C1110" s="539"/>
      <c r="D1110" s="318"/>
      <c r="E1110" s="45"/>
      <c r="F1110" s="302">
        <f t="shared" si="28"/>
        <v>0</v>
      </c>
    </row>
    <row r="1111" spans="1:6" s="570" customFormat="1" ht="38.25">
      <c r="A1111" s="633"/>
      <c r="B1111" s="406" t="s">
        <v>2132</v>
      </c>
      <c r="C1111" s="539"/>
      <c r="D1111" s="318"/>
      <c r="E1111" s="45"/>
      <c r="F1111" s="302">
        <f t="shared" si="28"/>
        <v>0</v>
      </c>
    </row>
    <row r="1112" spans="1:6" s="570" customFormat="1" ht="51">
      <c r="A1112" s="633"/>
      <c r="B1112" s="406" t="s">
        <v>750</v>
      </c>
      <c r="C1112" s="539"/>
      <c r="D1112" s="318"/>
      <c r="E1112" s="45"/>
      <c r="F1112" s="302">
        <f t="shared" si="28"/>
        <v>0</v>
      </c>
    </row>
    <row r="1113" spans="1:6" s="570" customFormat="1">
      <c r="A1113" s="633"/>
      <c r="B1113" s="406" t="s">
        <v>739</v>
      </c>
      <c r="C1113" s="539"/>
      <c r="D1113" s="318"/>
      <c r="E1113" s="45"/>
      <c r="F1113" s="302">
        <f t="shared" si="28"/>
        <v>0</v>
      </c>
    </row>
    <row r="1114" spans="1:6" s="570" customFormat="1">
      <c r="A1114" s="633"/>
      <c r="B1114" s="406" t="s">
        <v>751</v>
      </c>
      <c r="C1114" s="539"/>
      <c r="D1114" s="318"/>
      <c r="E1114" s="45"/>
      <c r="F1114" s="302">
        <f t="shared" si="28"/>
        <v>0</v>
      </c>
    </row>
    <row r="1115" spans="1:6" s="570" customFormat="1" ht="127.5">
      <c r="A1115" s="633"/>
      <c r="B1115" s="406" t="s">
        <v>947</v>
      </c>
      <c r="C1115" s="539"/>
      <c r="D1115" s="318"/>
      <c r="E1115" s="45"/>
      <c r="F1115" s="302">
        <f t="shared" si="28"/>
        <v>0</v>
      </c>
    </row>
    <row r="1116" spans="1:6" s="570" customFormat="1" ht="51">
      <c r="A1116" s="633"/>
      <c r="B1116" s="406" t="s">
        <v>759</v>
      </c>
      <c r="C1116" s="539"/>
      <c r="D1116" s="318"/>
      <c r="E1116" s="45"/>
      <c r="F1116" s="302">
        <f t="shared" si="28"/>
        <v>0</v>
      </c>
    </row>
    <row r="1117" spans="1:6" s="570" customFormat="1" ht="76.5">
      <c r="A1117" s="284"/>
      <c r="B1117" s="434" t="s">
        <v>649</v>
      </c>
      <c r="C1117" s="530"/>
      <c r="D1117" s="287"/>
      <c r="E1117" s="13"/>
      <c r="F1117" s="302">
        <f t="shared" si="28"/>
        <v>0</v>
      </c>
    </row>
    <row r="1118" spans="1:6" s="571" customFormat="1" ht="28.5" customHeight="1">
      <c r="A1118" s="540"/>
      <c r="B1118" s="434" t="s">
        <v>619</v>
      </c>
      <c r="C1118" s="542"/>
      <c r="D1118" s="543"/>
      <c r="E1118" s="655"/>
      <c r="F1118" s="302">
        <f t="shared" si="28"/>
        <v>0</v>
      </c>
    </row>
    <row r="1119" spans="1:6" s="571" customFormat="1" ht="38.25">
      <c r="A1119" s="634"/>
      <c r="B1119" s="406" t="s">
        <v>945</v>
      </c>
      <c r="C1119" s="544"/>
      <c r="D1119" s="316"/>
      <c r="E1119" s="352"/>
      <c r="F1119" s="302">
        <f t="shared" si="28"/>
        <v>0</v>
      </c>
    </row>
    <row r="1120" spans="1:6" s="571" customFormat="1">
      <c r="A1120" s="540"/>
      <c r="B1120" s="434" t="s">
        <v>635</v>
      </c>
      <c r="C1120" s="542"/>
      <c r="D1120" s="543"/>
      <c r="E1120" s="655"/>
      <c r="F1120" s="302">
        <f t="shared" si="28"/>
        <v>0</v>
      </c>
    </row>
    <row r="1121" spans="1:6" s="571" customFormat="1">
      <c r="A1121" s="540"/>
      <c r="B1121" s="434" t="s">
        <v>254</v>
      </c>
      <c r="C1121" s="542"/>
      <c r="D1121" s="543"/>
      <c r="E1121" s="655"/>
      <c r="F1121" s="302">
        <f t="shared" si="28"/>
        <v>0</v>
      </c>
    </row>
    <row r="1122" spans="1:6" s="571" customFormat="1" ht="38.25">
      <c r="A1122" s="634"/>
      <c r="B1122" s="406" t="s">
        <v>752</v>
      </c>
      <c r="C1122" s="539" t="s">
        <v>34</v>
      </c>
      <c r="D1122" s="318">
        <v>1</v>
      </c>
      <c r="E1122" s="352"/>
      <c r="F1122" s="302">
        <f t="shared" si="28"/>
        <v>0</v>
      </c>
    </row>
    <row r="1123" spans="1:6" s="571" customFormat="1">
      <c r="A1123" s="634"/>
      <c r="B1123" s="406"/>
      <c r="C1123" s="539"/>
      <c r="D1123" s="318"/>
      <c r="E1123" s="352"/>
      <c r="F1123" s="302">
        <f t="shared" si="28"/>
        <v>0</v>
      </c>
    </row>
    <row r="1124" spans="1:6" s="570" customFormat="1" ht="33.75" customHeight="1">
      <c r="A1124" s="633">
        <v>5</v>
      </c>
      <c r="B1124" s="294" t="s">
        <v>760</v>
      </c>
      <c r="C1124" s="539"/>
      <c r="D1124" s="318"/>
      <c r="E1124" s="45"/>
      <c r="F1124" s="302">
        <f t="shared" si="28"/>
        <v>0</v>
      </c>
    </row>
    <row r="1125" spans="1:6" s="570" customFormat="1" ht="38.25">
      <c r="A1125" s="633"/>
      <c r="B1125" s="406" t="s">
        <v>755</v>
      </c>
      <c r="C1125" s="539"/>
      <c r="D1125" s="318"/>
      <c r="E1125" s="45"/>
      <c r="F1125" s="302">
        <f t="shared" si="28"/>
        <v>0</v>
      </c>
    </row>
    <row r="1126" spans="1:6" s="570" customFormat="1" ht="17.25" customHeight="1">
      <c r="A1126" s="633"/>
      <c r="B1126" s="406" t="s">
        <v>756</v>
      </c>
      <c r="C1126" s="539"/>
      <c r="D1126" s="318"/>
      <c r="E1126" s="45"/>
      <c r="F1126" s="302">
        <f t="shared" si="28"/>
        <v>0</v>
      </c>
    </row>
    <row r="1127" spans="1:6" s="570" customFormat="1">
      <c r="A1127" s="633"/>
      <c r="B1127" s="406" t="s">
        <v>757</v>
      </c>
      <c r="C1127" s="539"/>
      <c r="D1127" s="318"/>
      <c r="E1127" s="45"/>
      <c r="F1127" s="302">
        <f t="shared" si="28"/>
        <v>0</v>
      </c>
    </row>
    <row r="1128" spans="1:6" s="570" customFormat="1" ht="46.5" customHeight="1">
      <c r="A1128" s="633"/>
      <c r="B1128" s="406" t="s">
        <v>758</v>
      </c>
      <c r="C1128" s="539"/>
      <c r="D1128" s="318"/>
      <c r="E1128" s="45"/>
      <c r="F1128" s="302">
        <f t="shared" si="28"/>
        <v>0</v>
      </c>
    </row>
    <row r="1129" spans="1:6" s="570" customFormat="1" ht="51">
      <c r="A1129" s="633"/>
      <c r="B1129" s="406" t="s">
        <v>759</v>
      </c>
      <c r="C1129" s="539"/>
      <c r="D1129" s="318"/>
      <c r="E1129" s="45"/>
      <c r="F1129" s="302">
        <f t="shared" si="28"/>
        <v>0</v>
      </c>
    </row>
    <row r="1130" spans="1:6" s="570" customFormat="1" ht="76.5">
      <c r="A1130" s="284"/>
      <c r="B1130" s="434" t="s">
        <v>649</v>
      </c>
      <c r="C1130" s="530"/>
      <c r="D1130" s="287"/>
      <c r="E1130" s="13"/>
      <c r="F1130" s="302">
        <f t="shared" si="28"/>
        <v>0</v>
      </c>
    </row>
    <row r="1131" spans="1:6" s="571" customFormat="1" ht="28.5" customHeight="1">
      <c r="A1131" s="540"/>
      <c r="B1131" s="434" t="s">
        <v>619</v>
      </c>
      <c r="C1131" s="542"/>
      <c r="D1131" s="543"/>
      <c r="E1131" s="655"/>
      <c r="F1131" s="302">
        <f t="shared" si="28"/>
        <v>0</v>
      </c>
    </row>
    <row r="1132" spans="1:6" s="571" customFormat="1" ht="38.25">
      <c r="A1132" s="634"/>
      <c r="B1132" s="406" t="s">
        <v>945</v>
      </c>
      <c r="C1132" s="544"/>
      <c r="D1132" s="316"/>
      <c r="E1132" s="352"/>
      <c r="F1132" s="302">
        <f t="shared" si="28"/>
        <v>0</v>
      </c>
    </row>
    <row r="1133" spans="1:6" s="571" customFormat="1">
      <c r="A1133" s="540"/>
      <c r="B1133" s="434" t="s">
        <v>761</v>
      </c>
      <c r="C1133" s="542"/>
      <c r="D1133" s="543"/>
      <c r="E1133" s="655"/>
      <c r="F1133" s="302">
        <f t="shared" si="28"/>
        <v>0</v>
      </c>
    </row>
    <row r="1134" spans="1:6" s="571" customFormat="1">
      <c r="A1134" s="540"/>
      <c r="B1134" s="434" t="s">
        <v>254</v>
      </c>
      <c r="C1134" s="542"/>
      <c r="D1134" s="543"/>
      <c r="E1134" s="655"/>
      <c r="F1134" s="302">
        <f t="shared" si="28"/>
        <v>0</v>
      </c>
    </row>
    <row r="1135" spans="1:6" s="571" customFormat="1" ht="30.75" customHeight="1">
      <c r="A1135" s="634"/>
      <c r="B1135" s="406" t="s">
        <v>762</v>
      </c>
      <c r="C1135" s="539" t="s">
        <v>34</v>
      </c>
      <c r="D1135" s="318">
        <v>2</v>
      </c>
      <c r="E1135" s="352"/>
      <c r="F1135" s="302">
        <f t="shared" si="28"/>
        <v>0</v>
      </c>
    </row>
    <row r="1136" spans="1:6" s="571" customFormat="1">
      <c r="A1136" s="634"/>
      <c r="B1136" s="406"/>
      <c r="C1136" s="539"/>
      <c r="D1136" s="318"/>
      <c r="E1136" s="352"/>
      <c r="F1136" s="302">
        <f t="shared" si="28"/>
        <v>0</v>
      </c>
    </row>
    <row r="1137" spans="1:6" s="570" customFormat="1" ht="30">
      <c r="A1137" s="633">
        <v>6</v>
      </c>
      <c r="B1137" s="294" t="s">
        <v>813</v>
      </c>
      <c r="C1137" s="539"/>
      <c r="D1137" s="318"/>
      <c r="E1137" s="45"/>
      <c r="F1137" s="302">
        <f t="shared" si="28"/>
        <v>0</v>
      </c>
    </row>
    <row r="1138" spans="1:6" s="570" customFormat="1" ht="52.5">
      <c r="A1138" s="633"/>
      <c r="B1138" s="434" t="s">
        <v>814</v>
      </c>
      <c r="C1138" s="539"/>
      <c r="D1138" s="318"/>
      <c r="E1138" s="45"/>
      <c r="F1138" s="302">
        <f t="shared" si="28"/>
        <v>0</v>
      </c>
    </row>
    <row r="1139" spans="1:6" s="570" customFormat="1" ht="18.75" customHeight="1">
      <c r="A1139" s="633"/>
      <c r="B1139" s="406" t="s">
        <v>756</v>
      </c>
      <c r="C1139" s="539"/>
      <c r="D1139" s="318"/>
      <c r="E1139" s="45"/>
      <c r="F1139" s="302">
        <f t="shared" si="28"/>
        <v>0</v>
      </c>
    </row>
    <row r="1140" spans="1:6" s="570" customFormat="1">
      <c r="A1140" s="633"/>
      <c r="B1140" s="406" t="s">
        <v>815</v>
      </c>
      <c r="C1140" s="539"/>
      <c r="D1140" s="318"/>
      <c r="E1140" s="45"/>
      <c r="F1140" s="302">
        <f t="shared" si="28"/>
        <v>0</v>
      </c>
    </row>
    <row r="1141" spans="1:6" s="570" customFormat="1" ht="122.25" customHeight="1">
      <c r="A1141" s="633"/>
      <c r="B1141" s="434" t="s">
        <v>816</v>
      </c>
      <c r="C1141" s="539"/>
      <c r="D1141" s="318"/>
      <c r="E1141" s="45"/>
      <c r="F1141" s="302">
        <f t="shared" si="28"/>
        <v>0</v>
      </c>
    </row>
    <row r="1142" spans="1:6" s="570" customFormat="1" ht="76.5">
      <c r="A1142" s="284"/>
      <c r="B1142" s="434" t="s">
        <v>649</v>
      </c>
      <c r="C1142" s="530"/>
      <c r="D1142" s="287"/>
      <c r="E1142" s="13"/>
      <c r="F1142" s="302">
        <f t="shared" si="28"/>
        <v>0</v>
      </c>
    </row>
    <row r="1143" spans="1:6" s="571" customFormat="1" ht="28.5" customHeight="1">
      <c r="A1143" s="540"/>
      <c r="B1143" s="434" t="s">
        <v>619</v>
      </c>
      <c r="C1143" s="542"/>
      <c r="D1143" s="543"/>
      <c r="E1143" s="655"/>
      <c r="F1143" s="302">
        <f t="shared" si="28"/>
        <v>0</v>
      </c>
    </row>
    <row r="1144" spans="1:6" s="571" customFormat="1" ht="38.25">
      <c r="A1144" s="634"/>
      <c r="B1144" s="406" t="s">
        <v>945</v>
      </c>
      <c r="C1144" s="544"/>
      <c r="D1144" s="316"/>
      <c r="E1144" s="352"/>
      <c r="F1144" s="302">
        <f t="shared" si="28"/>
        <v>0</v>
      </c>
    </row>
    <row r="1145" spans="1:6" s="571" customFormat="1">
      <c r="A1145" s="540"/>
      <c r="B1145" s="434" t="s">
        <v>702</v>
      </c>
      <c r="C1145" s="542"/>
      <c r="D1145" s="543"/>
      <c r="E1145" s="655"/>
      <c r="F1145" s="302">
        <f t="shared" ref="F1145:F1208" si="29">D1145*E1145</f>
        <v>0</v>
      </c>
    </row>
    <row r="1146" spans="1:6" s="571" customFormat="1">
      <c r="A1146" s="540"/>
      <c r="B1146" s="434" t="s">
        <v>254</v>
      </c>
      <c r="C1146" s="542"/>
      <c r="D1146" s="543"/>
      <c r="E1146" s="655"/>
      <c r="F1146" s="302">
        <f t="shared" si="29"/>
        <v>0</v>
      </c>
    </row>
    <row r="1147" spans="1:6" s="571" customFormat="1" ht="30.75" customHeight="1">
      <c r="A1147" s="634"/>
      <c r="B1147" s="406" t="s">
        <v>817</v>
      </c>
      <c r="C1147" s="539" t="s">
        <v>34</v>
      </c>
      <c r="D1147" s="318">
        <v>3</v>
      </c>
      <c r="E1147" s="352"/>
      <c r="F1147" s="302">
        <f t="shared" si="29"/>
        <v>0</v>
      </c>
    </row>
    <row r="1148" spans="1:6" s="571" customFormat="1" ht="30.75" customHeight="1">
      <c r="A1148" s="634"/>
      <c r="B1148" s="406" t="s">
        <v>818</v>
      </c>
      <c r="C1148" s="539" t="s">
        <v>34</v>
      </c>
      <c r="D1148" s="318">
        <v>2</v>
      </c>
      <c r="E1148" s="352"/>
      <c r="F1148" s="302">
        <f t="shared" si="29"/>
        <v>0</v>
      </c>
    </row>
    <row r="1149" spans="1:6" s="570" customFormat="1">
      <c r="A1149" s="633"/>
      <c r="B1149" s="294"/>
      <c r="C1149" s="539"/>
      <c r="D1149" s="318"/>
      <c r="E1149" s="45"/>
      <c r="F1149" s="302">
        <f t="shared" si="29"/>
        <v>0</v>
      </c>
    </row>
    <row r="1150" spans="1:6" s="570" customFormat="1" ht="45">
      <c r="A1150" s="633">
        <v>7</v>
      </c>
      <c r="B1150" s="294" t="s">
        <v>823</v>
      </c>
      <c r="C1150" s="539"/>
      <c r="D1150" s="318"/>
      <c r="E1150" s="45"/>
      <c r="F1150" s="302">
        <f t="shared" si="29"/>
        <v>0</v>
      </c>
    </row>
    <row r="1151" spans="1:6" s="570" customFormat="1" ht="38.25">
      <c r="A1151" s="633"/>
      <c r="B1151" s="434" t="s">
        <v>819</v>
      </c>
      <c r="C1151" s="539"/>
      <c r="D1151" s="318"/>
      <c r="E1151" s="45"/>
      <c r="F1151" s="302">
        <f t="shared" si="29"/>
        <v>0</v>
      </c>
    </row>
    <row r="1152" spans="1:6" s="570" customFormat="1" ht="38.25">
      <c r="A1152" s="633"/>
      <c r="B1152" s="434" t="s">
        <v>948</v>
      </c>
      <c r="C1152" s="539"/>
      <c r="D1152" s="318"/>
      <c r="E1152" s="45"/>
      <c r="F1152" s="302">
        <f t="shared" si="29"/>
        <v>0</v>
      </c>
    </row>
    <row r="1153" spans="1:6" s="570" customFormat="1">
      <c r="A1153" s="633"/>
      <c r="B1153" s="434" t="s">
        <v>834</v>
      </c>
      <c r="C1153" s="539"/>
      <c r="D1153" s="318"/>
      <c r="E1153" s="45"/>
      <c r="F1153" s="302">
        <f t="shared" si="29"/>
        <v>0</v>
      </c>
    </row>
    <row r="1154" spans="1:6" s="570" customFormat="1" ht="63.75">
      <c r="A1154" s="633"/>
      <c r="B1154" s="434" t="s">
        <v>820</v>
      </c>
      <c r="C1154" s="539"/>
      <c r="D1154" s="318"/>
      <c r="E1154" s="45"/>
      <c r="F1154" s="302">
        <f t="shared" si="29"/>
        <v>0</v>
      </c>
    </row>
    <row r="1155" spans="1:6" s="570" customFormat="1" ht="204">
      <c r="A1155" s="633"/>
      <c r="B1155" s="434" t="s">
        <v>821</v>
      </c>
      <c r="C1155" s="539"/>
      <c r="D1155" s="318"/>
      <c r="E1155" s="45"/>
      <c r="F1155" s="302">
        <f t="shared" si="29"/>
        <v>0</v>
      </c>
    </row>
    <row r="1156" spans="1:6" s="570" customFormat="1" ht="76.5">
      <c r="A1156" s="284"/>
      <c r="B1156" s="434" t="s">
        <v>649</v>
      </c>
      <c r="C1156" s="530"/>
      <c r="D1156" s="287"/>
      <c r="E1156" s="13"/>
      <c r="F1156" s="302">
        <f t="shared" si="29"/>
        <v>0</v>
      </c>
    </row>
    <row r="1157" spans="1:6" s="571" customFormat="1" ht="28.5" customHeight="1">
      <c r="A1157" s="540"/>
      <c r="B1157" s="434" t="s">
        <v>619</v>
      </c>
      <c r="C1157" s="542"/>
      <c r="D1157" s="543"/>
      <c r="E1157" s="655"/>
      <c r="F1157" s="302">
        <f t="shared" si="29"/>
        <v>0</v>
      </c>
    </row>
    <row r="1158" spans="1:6" s="571" customFormat="1" ht="38.25">
      <c r="A1158" s="634"/>
      <c r="B1158" s="406" t="s">
        <v>945</v>
      </c>
      <c r="C1158" s="544"/>
      <c r="D1158" s="316"/>
      <c r="E1158" s="352"/>
      <c r="F1158" s="302">
        <f t="shared" si="29"/>
        <v>0</v>
      </c>
    </row>
    <row r="1159" spans="1:6" s="571" customFormat="1">
      <c r="A1159" s="540"/>
      <c r="B1159" s="434" t="s">
        <v>822</v>
      </c>
      <c r="C1159" s="542"/>
      <c r="D1159" s="543"/>
      <c r="E1159" s="655"/>
      <c r="F1159" s="302">
        <f t="shared" si="29"/>
        <v>0</v>
      </c>
    </row>
    <row r="1160" spans="1:6" s="571" customFormat="1">
      <c r="A1160" s="540"/>
      <c r="B1160" s="434" t="s">
        <v>254</v>
      </c>
      <c r="C1160" s="542"/>
      <c r="D1160" s="543"/>
      <c r="E1160" s="655"/>
      <c r="F1160" s="302">
        <f t="shared" si="29"/>
        <v>0</v>
      </c>
    </row>
    <row r="1161" spans="1:6" s="570" customFormat="1" ht="25.5">
      <c r="A1161" s="633"/>
      <c r="B1161" s="434" t="s">
        <v>949</v>
      </c>
      <c r="C1161" s="539" t="s">
        <v>34</v>
      </c>
      <c r="D1161" s="318">
        <v>30</v>
      </c>
      <c r="E1161" s="45"/>
      <c r="F1161" s="302">
        <f t="shared" si="29"/>
        <v>0</v>
      </c>
    </row>
    <row r="1162" spans="1:6" s="570" customFormat="1">
      <c r="A1162" s="633"/>
      <c r="B1162" s="434" t="s">
        <v>2009</v>
      </c>
      <c r="C1162" s="539" t="s">
        <v>34</v>
      </c>
      <c r="D1162" s="318">
        <v>6</v>
      </c>
      <c r="E1162" s="45"/>
      <c r="F1162" s="302">
        <f t="shared" si="29"/>
        <v>0</v>
      </c>
    </row>
    <row r="1163" spans="1:6" s="570" customFormat="1">
      <c r="A1163" s="633"/>
      <c r="B1163" s="434" t="s">
        <v>2010</v>
      </c>
      <c r="C1163" s="539" t="s">
        <v>34</v>
      </c>
      <c r="D1163" s="318">
        <f>D1161-D1162</f>
        <v>24</v>
      </c>
      <c r="E1163" s="45"/>
      <c r="F1163" s="302">
        <f t="shared" si="29"/>
        <v>0</v>
      </c>
    </row>
    <row r="1164" spans="1:6" s="570" customFormat="1">
      <c r="A1164" s="633"/>
      <c r="B1164" s="434"/>
      <c r="C1164" s="539"/>
      <c r="D1164" s="318"/>
      <c r="E1164" s="45"/>
      <c r="F1164" s="302">
        <f t="shared" si="29"/>
        <v>0</v>
      </c>
    </row>
    <row r="1165" spans="1:6" s="570" customFormat="1" ht="45">
      <c r="A1165" s="633">
        <v>8</v>
      </c>
      <c r="B1165" s="294" t="s">
        <v>824</v>
      </c>
      <c r="C1165" s="539"/>
      <c r="D1165" s="318"/>
      <c r="E1165" s="45"/>
      <c r="F1165" s="302">
        <f t="shared" si="29"/>
        <v>0</v>
      </c>
    </row>
    <row r="1166" spans="1:6" s="570" customFormat="1" ht="38.25">
      <c r="A1166" s="633"/>
      <c r="B1166" s="434" t="s">
        <v>819</v>
      </c>
      <c r="C1166" s="539"/>
      <c r="D1166" s="318"/>
      <c r="E1166" s="45"/>
      <c r="F1166" s="302">
        <f t="shared" si="29"/>
        <v>0</v>
      </c>
    </row>
    <row r="1167" spans="1:6" s="570" customFormat="1" ht="38.25">
      <c r="A1167" s="633"/>
      <c r="B1167" s="434" t="s">
        <v>948</v>
      </c>
      <c r="C1167" s="539"/>
      <c r="D1167" s="318"/>
      <c r="E1167" s="45"/>
      <c r="F1167" s="302">
        <f t="shared" si="29"/>
        <v>0</v>
      </c>
    </row>
    <row r="1168" spans="1:6" s="570" customFormat="1">
      <c r="A1168" s="633"/>
      <c r="B1168" s="434" t="s">
        <v>834</v>
      </c>
      <c r="C1168" s="539"/>
      <c r="D1168" s="318"/>
      <c r="E1168" s="45"/>
      <c r="F1168" s="302">
        <f t="shared" si="29"/>
        <v>0</v>
      </c>
    </row>
    <row r="1169" spans="1:6" s="570" customFormat="1" ht="63.75">
      <c r="A1169" s="633"/>
      <c r="B1169" s="434" t="s">
        <v>820</v>
      </c>
      <c r="C1169" s="539"/>
      <c r="D1169" s="318"/>
      <c r="E1169" s="45"/>
      <c r="F1169" s="302">
        <f t="shared" si="29"/>
        <v>0</v>
      </c>
    </row>
    <row r="1170" spans="1:6" s="570" customFormat="1" ht="204">
      <c r="A1170" s="633"/>
      <c r="B1170" s="434" t="s">
        <v>825</v>
      </c>
      <c r="C1170" s="539"/>
      <c r="D1170" s="318"/>
      <c r="E1170" s="45"/>
      <c r="F1170" s="302">
        <f t="shared" si="29"/>
        <v>0</v>
      </c>
    </row>
    <row r="1171" spans="1:6" s="570" customFormat="1" ht="76.5">
      <c r="A1171" s="284"/>
      <c r="B1171" s="434" t="s">
        <v>649</v>
      </c>
      <c r="C1171" s="530"/>
      <c r="D1171" s="287"/>
      <c r="E1171" s="13"/>
      <c r="F1171" s="302">
        <f t="shared" si="29"/>
        <v>0</v>
      </c>
    </row>
    <row r="1172" spans="1:6" s="571" customFormat="1" ht="28.5" customHeight="1">
      <c r="A1172" s="540"/>
      <c r="B1172" s="434" t="s">
        <v>619</v>
      </c>
      <c r="C1172" s="542"/>
      <c r="D1172" s="543"/>
      <c r="E1172" s="655"/>
      <c r="F1172" s="302">
        <f t="shared" si="29"/>
        <v>0</v>
      </c>
    </row>
    <row r="1173" spans="1:6" s="571" customFormat="1" ht="38.25">
      <c r="A1173" s="634"/>
      <c r="B1173" s="406" t="s">
        <v>945</v>
      </c>
      <c r="C1173" s="544"/>
      <c r="D1173" s="316"/>
      <c r="E1173" s="352"/>
      <c r="F1173" s="302">
        <f t="shared" si="29"/>
        <v>0</v>
      </c>
    </row>
    <row r="1174" spans="1:6" s="571" customFormat="1">
      <c r="A1174" s="540"/>
      <c r="B1174" s="434" t="s">
        <v>826</v>
      </c>
      <c r="C1174" s="542"/>
      <c r="D1174" s="543"/>
      <c r="E1174" s="655"/>
      <c r="F1174" s="302">
        <f t="shared" si="29"/>
        <v>0</v>
      </c>
    </row>
    <row r="1175" spans="1:6" s="571" customFormat="1">
      <c r="A1175" s="540"/>
      <c r="B1175" s="434" t="s">
        <v>254</v>
      </c>
      <c r="C1175" s="542"/>
      <c r="D1175" s="543"/>
      <c r="E1175" s="655"/>
      <c r="F1175" s="302">
        <f t="shared" si="29"/>
        <v>0</v>
      </c>
    </row>
    <row r="1176" spans="1:6" s="570" customFormat="1" ht="25.5">
      <c r="A1176" s="633"/>
      <c r="B1176" s="434" t="s">
        <v>950</v>
      </c>
      <c r="C1176" s="539" t="s">
        <v>34</v>
      </c>
      <c r="D1176" s="318">
        <v>5</v>
      </c>
      <c r="E1176" s="45"/>
      <c r="F1176" s="302">
        <f t="shared" si="29"/>
        <v>0</v>
      </c>
    </row>
    <row r="1177" spans="1:6" s="570" customFormat="1">
      <c r="A1177" s="633"/>
      <c r="B1177" s="434" t="s">
        <v>2009</v>
      </c>
      <c r="C1177" s="539" t="s">
        <v>34</v>
      </c>
      <c r="D1177" s="318">
        <v>1</v>
      </c>
      <c r="E1177" s="45"/>
      <c r="F1177" s="302">
        <f t="shared" si="29"/>
        <v>0</v>
      </c>
    </row>
    <row r="1178" spans="1:6" s="570" customFormat="1">
      <c r="A1178" s="633"/>
      <c r="B1178" s="434" t="s">
        <v>2010</v>
      </c>
      <c r="C1178" s="539" t="s">
        <v>34</v>
      </c>
      <c r="D1178" s="318">
        <f>D1176-D1177</f>
        <v>4</v>
      </c>
      <c r="E1178" s="45"/>
      <c r="F1178" s="302">
        <f t="shared" si="29"/>
        <v>0</v>
      </c>
    </row>
    <row r="1179" spans="1:6" s="570" customFormat="1">
      <c r="A1179" s="633"/>
      <c r="B1179" s="434"/>
      <c r="C1179" s="539"/>
      <c r="D1179" s="318"/>
      <c r="E1179" s="45"/>
      <c r="F1179" s="302">
        <f t="shared" si="29"/>
        <v>0</v>
      </c>
    </row>
    <row r="1180" spans="1:6" s="570" customFormat="1" ht="30">
      <c r="A1180" s="633">
        <v>9</v>
      </c>
      <c r="B1180" s="294" t="s">
        <v>827</v>
      </c>
      <c r="C1180" s="539"/>
      <c r="D1180" s="318"/>
      <c r="E1180" s="45"/>
      <c r="F1180" s="302">
        <f t="shared" si="29"/>
        <v>0</v>
      </c>
    </row>
    <row r="1181" spans="1:6" s="570" customFormat="1" ht="25.5">
      <c r="A1181" s="633"/>
      <c r="B1181" s="434" t="s">
        <v>828</v>
      </c>
      <c r="C1181" s="539"/>
      <c r="D1181" s="318"/>
      <c r="E1181" s="45"/>
      <c r="F1181" s="302">
        <f t="shared" si="29"/>
        <v>0</v>
      </c>
    </row>
    <row r="1182" spans="1:6" s="570" customFormat="1" ht="38.25">
      <c r="A1182" s="633"/>
      <c r="B1182" s="434" t="s">
        <v>948</v>
      </c>
      <c r="C1182" s="539"/>
      <c r="D1182" s="318"/>
      <c r="E1182" s="45"/>
      <c r="F1182" s="302">
        <f t="shared" si="29"/>
        <v>0</v>
      </c>
    </row>
    <row r="1183" spans="1:6" s="570" customFormat="1">
      <c r="A1183" s="633"/>
      <c r="B1183" s="434" t="s">
        <v>833</v>
      </c>
      <c r="C1183" s="539"/>
      <c r="D1183" s="318"/>
      <c r="E1183" s="45"/>
      <c r="F1183" s="302">
        <f t="shared" si="29"/>
        <v>0</v>
      </c>
    </row>
    <row r="1184" spans="1:6" s="570" customFormat="1" ht="51">
      <c r="A1184" s="633"/>
      <c r="B1184" s="434" t="s">
        <v>829</v>
      </c>
      <c r="C1184" s="539"/>
      <c r="D1184" s="318"/>
      <c r="E1184" s="45"/>
      <c r="F1184" s="302">
        <f t="shared" si="29"/>
        <v>0</v>
      </c>
    </row>
    <row r="1185" spans="1:6" s="570" customFormat="1" ht="229.5">
      <c r="A1185" s="633"/>
      <c r="B1185" s="434" t="s">
        <v>951</v>
      </c>
      <c r="C1185" s="539"/>
      <c r="D1185" s="318"/>
      <c r="E1185" s="45"/>
      <c r="F1185" s="302">
        <f t="shared" si="29"/>
        <v>0</v>
      </c>
    </row>
    <row r="1186" spans="1:6" s="570" customFormat="1" ht="76.5">
      <c r="A1186" s="284"/>
      <c r="B1186" s="434" t="s">
        <v>649</v>
      </c>
      <c r="C1186" s="530"/>
      <c r="D1186" s="287"/>
      <c r="E1186" s="13"/>
      <c r="F1186" s="302">
        <f t="shared" si="29"/>
        <v>0</v>
      </c>
    </row>
    <row r="1187" spans="1:6" s="571" customFormat="1" ht="28.5" customHeight="1">
      <c r="A1187" s="540"/>
      <c r="B1187" s="434" t="s">
        <v>619</v>
      </c>
      <c r="C1187" s="542"/>
      <c r="D1187" s="543"/>
      <c r="E1187" s="655"/>
      <c r="F1187" s="302">
        <f t="shared" si="29"/>
        <v>0</v>
      </c>
    </row>
    <row r="1188" spans="1:6" s="571" customFormat="1" ht="38.25">
      <c r="A1188" s="634"/>
      <c r="B1188" s="406" t="s">
        <v>945</v>
      </c>
      <c r="C1188" s="544"/>
      <c r="D1188" s="316"/>
      <c r="E1188" s="352"/>
      <c r="F1188" s="302">
        <f t="shared" si="29"/>
        <v>0</v>
      </c>
    </row>
    <row r="1189" spans="1:6" s="571" customFormat="1">
      <c r="A1189" s="540"/>
      <c r="B1189" s="434" t="s">
        <v>830</v>
      </c>
      <c r="C1189" s="542"/>
      <c r="D1189" s="543"/>
      <c r="E1189" s="655"/>
      <c r="F1189" s="302">
        <f t="shared" si="29"/>
        <v>0</v>
      </c>
    </row>
    <row r="1190" spans="1:6" s="571" customFormat="1">
      <c r="A1190" s="540"/>
      <c r="B1190" s="434" t="s">
        <v>254</v>
      </c>
      <c r="C1190" s="542"/>
      <c r="D1190" s="543"/>
      <c r="E1190" s="655"/>
      <c r="F1190" s="302">
        <f t="shared" si="29"/>
        <v>0</v>
      </c>
    </row>
    <row r="1191" spans="1:6" s="570" customFormat="1" ht="25.5">
      <c r="A1191" s="633"/>
      <c r="B1191" s="434" t="s">
        <v>952</v>
      </c>
      <c r="C1191" s="539" t="s">
        <v>34</v>
      </c>
      <c r="D1191" s="318">
        <v>12</v>
      </c>
      <c r="E1191" s="45"/>
      <c r="F1191" s="302">
        <f t="shared" si="29"/>
        <v>0</v>
      </c>
    </row>
    <row r="1192" spans="1:6" s="570" customFormat="1">
      <c r="A1192" s="633"/>
      <c r="B1192" s="434" t="s">
        <v>2009</v>
      </c>
      <c r="C1192" s="539" t="s">
        <v>34</v>
      </c>
      <c r="D1192" s="318">
        <v>3</v>
      </c>
      <c r="E1192" s="45"/>
      <c r="F1192" s="302">
        <f t="shared" si="29"/>
        <v>0</v>
      </c>
    </row>
    <row r="1193" spans="1:6" s="570" customFormat="1">
      <c r="A1193" s="633"/>
      <c r="B1193" s="434" t="s">
        <v>2010</v>
      </c>
      <c r="C1193" s="539" t="s">
        <v>34</v>
      </c>
      <c r="D1193" s="318">
        <f>D1191-D1192</f>
        <v>9</v>
      </c>
      <c r="E1193" s="45"/>
      <c r="F1193" s="302">
        <f t="shared" si="29"/>
        <v>0</v>
      </c>
    </row>
    <row r="1194" spans="1:6" s="570" customFormat="1">
      <c r="A1194" s="633"/>
      <c r="B1194" s="434"/>
      <c r="C1194" s="539"/>
      <c r="D1194" s="318"/>
      <c r="E1194" s="45"/>
      <c r="F1194" s="302">
        <f t="shared" si="29"/>
        <v>0</v>
      </c>
    </row>
    <row r="1195" spans="1:6" s="570" customFormat="1" ht="30">
      <c r="A1195" s="633">
        <v>10</v>
      </c>
      <c r="B1195" s="294" t="s">
        <v>953</v>
      </c>
      <c r="C1195" s="539"/>
      <c r="D1195" s="318"/>
      <c r="E1195" s="45"/>
      <c r="F1195" s="302">
        <f t="shared" si="29"/>
        <v>0</v>
      </c>
    </row>
    <row r="1196" spans="1:6" s="570" customFormat="1" ht="38.25">
      <c r="A1196" s="633"/>
      <c r="B1196" s="434" t="s">
        <v>954</v>
      </c>
      <c r="C1196" s="539"/>
      <c r="D1196" s="318"/>
      <c r="E1196" s="45"/>
      <c r="F1196" s="302">
        <f t="shared" si="29"/>
        <v>0</v>
      </c>
    </row>
    <row r="1197" spans="1:6" s="570" customFormat="1" ht="51">
      <c r="A1197" s="633"/>
      <c r="B1197" s="434" t="s">
        <v>831</v>
      </c>
      <c r="C1197" s="539"/>
      <c r="D1197" s="318"/>
      <c r="E1197" s="45"/>
      <c r="F1197" s="302">
        <f t="shared" si="29"/>
        <v>0</v>
      </c>
    </row>
    <row r="1198" spans="1:6" s="570" customFormat="1">
      <c r="A1198" s="633"/>
      <c r="B1198" s="434" t="s">
        <v>832</v>
      </c>
      <c r="C1198" s="539"/>
      <c r="D1198" s="318"/>
      <c r="E1198" s="45"/>
      <c r="F1198" s="302">
        <f t="shared" si="29"/>
        <v>0</v>
      </c>
    </row>
    <row r="1199" spans="1:6" s="570" customFormat="1" ht="25.5">
      <c r="A1199" s="633"/>
      <c r="B1199" s="434" t="s">
        <v>835</v>
      </c>
      <c r="C1199" s="539"/>
      <c r="D1199" s="318"/>
      <c r="E1199" s="45"/>
      <c r="F1199" s="302">
        <f t="shared" si="29"/>
        <v>0</v>
      </c>
    </row>
    <row r="1200" spans="1:6" s="570" customFormat="1" ht="156" customHeight="1">
      <c r="A1200" s="633"/>
      <c r="B1200" s="434" t="s">
        <v>836</v>
      </c>
      <c r="C1200" s="539"/>
      <c r="D1200" s="318"/>
      <c r="E1200" s="45"/>
      <c r="F1200" s="302">
        <f t="shared" si="29"/>
        <v>0</v>
      </c>
    </row>
    <row r="1201" spans="1:6" s="570" customFormat="1" ht="76.5">
      <c r="A1201" s="284"/>
      <c r="B1201" s="434" t="s">
        <v>649</v>
      </c>
      <c r="C1201" s="530"/>
      <c r="D1201" s="287"/>
      <c r="E1201" s="13"/>
      <c r="F1201" s="302">
        <f t="shared" si="29"/>
        <v>0</v>
      </c>
    </row>
    <row r="1202" spans="1:6" s="571" customFormat="1" ht="28.5" customHeight="1">
      <c r="A1202" s="540"/>
      <c r="B1202" s="434" t="s">
        <v>619</v>
      </c>
      <c r="C1202" s="542"/>
      <c r="D1202" s="543"/>
      <c r="E1202" s="655"/>
      <c r="F1202" s="302">
        <f t="shared" si="29"/>
        <v>0</v>
      </c>
    </row>
    <row r="1203" spans="1:6" s="571" customFormat="1" ht="38.25">
      <c r="A1203" s="634"/>
      <c r="B1203" s="406" t="s">
        <v>945</v>
      </c>
      <c r="C1203" s="544"/>
      <c r="D1203" s="316"/>
      <c r="E1203" s="352"/>
      <c r="F1203" s="302">
        <f t="shared" si="29"/>
        <v>0</v>
      </c>
    </row>
    <row r="1204" spans="1:6" s="571" customFormat="1">
      <c r="A1204" s="540"/>
      <c r="B1204" s="434" t="s">
        <v>837</v>
      </c>
      <c r="C1204" s="542"/>
      <c r="D1204" s="543"/>
      <c r="E1204" s="655"/>
      <c r="F1204" s="302">
        <f t="shared" si="29"/>
        <v>0</v>
      </c>
    </row>
    <row r="1205" spans="1:6" s="571" customFormat="1">
      <c r="A1205" s="540"/>
      <c r="B1205" s="434" t="s">
        <v>254</v>
      </c>
      <c r="C1205" s="542"/>
      <c r="D1205" s="543"/>
      <c r="E1205" s="655"/>
      <c r="F1205" s="302">
        <f t="shared" si="29"/>
        <v>0</v>
      </c>
    </row>
    <row r="1206" spans="1:6" s="570" customFormat="1" ht="25.5">
      <c r="A1206" s="633"/>
      <c r="B1206" s="434" t="s">
        <v>955</v>
      </c>
      <c r="C1206" s="539" t="s">
        <v>34</v>
      </c>
      <c r="D1206" s="318">
        <v>2</v>
      </c>
      <c r="E1206" s="45"/>
      <c r="F1206" s="302">
        <f t="shared" si="29"/>
        <v>0</v>
      </c>
    </row>
    <row r="1207" spans="1:6" s="570" customFormat="1">
      <c r="A1207" s="633"/>
      <c r="B1207" s="294"/>
      <c r="C1207" s="539"/>
      <c r="D1207" s="318"/>
      <c r="E1207" s="45"/>
      <c r="F1207" s="302">
        <f t="shared" si="29"/>
        <v>0</v>
      </c>
    </row>
    <row r="1208" spans="1:6" s="570" customFormat="1" ht="19.5" customHeight="1">
      <c r="A1208" s="633">
        <v>11</v>
      </c>
      <c r="B1208" s="294" t="s">
        <v>838</v>
      </c>
      <c r="C1208" s="539"/>
      <c r="D1208" s="318"/>
      <c r="E1208" s="45"/>
      <c r="F1208" s="302">
        <f t="shared" si="29"/>
        <v>0</v>
      </c>
    </row>
    <row r="1209" spans="1:6" s="570" customFormat="1" ht="25.5">
      <c r="A1209" s="633"/>
      <c r="B1209" s="434" t="s">
        <v>846</v>
      </c>
      <c r="C1209" s="539"/>
      <c r="D1209" s="318"/>
      <c r="E1209" s="45"/>
      <c r="F1209" s="302">
        <f t="shared" ref="F1209:F1272" si="30">D1209*E1209</f>
        <v>0</v>
      </c>
    </row>
    <row r="1210" spans="1:6" s="570" customFormat="1" ht="17.25" customHeight="1">
      <c r="A1210" s="633"/>
      <c r="B1210" s="434" t="s">
        <v>839</v>
      </c>
      <c r="C1210" s="539"/>
      <c r="D1210" s="318"/>
      <c r="E1210" s="45"/>
      <c r="F1210" s="302">
        <f t="shared" si="30"/>
        <v>0</v>
      </c>
    </row>
    <row r="1211" spans="1:6" s="570" customFormat="1">
      <c r="A1211" s="633"/>
      <c r="B1211" s="434" t="s">
        <v>840</v>
      </c>
      <c r="C1211" s="539"/>
      <c r="D1211" s="318"/>
      <c r="E1211" s="45"/>
      <c r="F1211" s="302">
        <f t="shared" si="30"/>
        <v>0</v>
      </c>
    </row>
    <row r="1212" spans="1:6" s="570" customFormat="1" ht="25.5">
      <c r="A1212" s="633"/>
      <c r="B1212" s="434" t="s">
        <v>841</v>
      </c>
      <c r="C1212" s="539"/>
      <c r="D1212" s="318"/>
      <c r="E1212" s="45"/>
      <c r="F1212" s="302">
        <f t="shared" si="30"/>
        <v>0</v>
      </c>
    </row>
    <row r="1213" spans="1:6" s="570" customFormat="1" ht="156" customHeight="1">
      <c r="A1213" s="633"/>
      <c r="B1213" s="434" t="s">
        <v>842</v>
      </c>
      <c r="C1213" s="539"/>
      <c r="D1213" s="318"/>
      <c r="E1213" s="45"/>
      <c r="F1213" s="302">
        <f t="shared" si="30"/>
        <v>0</v>
      </c>
    </row>
    <row r="1214" spans="1:6" s="570" customFormat="1" ht="76.5">
      <c r="A1214" s="284"/>
      <c r="B1214" s="434" t="s">
        <v>649</v>
      </c>
      <c r="C1214" s="530"/>
      <c r="D1214" s="287"/>
      <c r="E1214" s="13"/>
      <c r="F1214" s="302">
        <f t="shared" si="30"/>
        <v>0</v>
      </c>
    </row>
    <row r="1215" spans="1:6" s="571" customFormat="1" ht="28.5" customHeight="1">
      <c r="A1215" s="540"/>
      <c r="B1215" s="434" t="s">
        <v>619</v>
      </c>
      <c r="C1215" s="542"/>
      <c r="D1215" s="543"/>
      <c r="E1215" s="655"/>
      <c r="F1215" s="302">
        <f t="shared" si="30"/>
        <v>0</v>
      </c>
    </row>
    <row r="1216" spans="1:6" s="571" customFormat="1" ht="38.25">
      <c r="A1216" s="634"/>
      <c r="B1216" s="406" t="s">
        <v>945</v>
      </c>
      <c r="C1216" s="544"/>
      <c r="D1216" s="316"/>
      <c r="E1216" s="352"/>
      <c r="F1216" s="302">
        <f t="shared" si="30"/>
        <v>0</v>
      </c>
    </row>
    <row r="1217" spans="1:6" s="571" customFormat="1">
      <c r="A1217" s="540"/>
      <c r="B1217" s="434" t="s">
        <v>843</v>
      </c>
      <c r="C1217" s="542"/>
      <c r="D1217" s="543"/>
      <c r="E1217" s="655"/>
      <c r="F1217" s="302">
        <f t="shared" si="30"/>
        <v>0</v>
      </c>
    </row>
    <row r="1218" spans="1:6" s="571" customFormat="1">
      <c r="A1218" s="540"/>
      <c r="B1218" s="434" t="s">
        <v>254</v>
      </c>
      <c r="C1218" s="542"/>
      <c r="D1218" s="543"/>
      <c r="E1218" s="655"/>
      <c r="F1218" s="302">
        <f t="shared" si="30"/>
        <v>0</v>
      </c>
    </row>
    <row r="1219" spans="1:6" s="570" customFormat="1" ht="25.5">
      <c r="A1219" s="633"/>
      <c r="B1219" s="434" t="s">
        <v>956</v>
      </c>
      <c r="C1219" s="539" t="s">
        <v>34</v>
      </c>
      <c r="D1219" s="318">
        <v>12</v>
      </c>
      <c r="E1219" s="45"/>
      <c r="F1219" s="302">
        <f t="shared" si="30"/>
        <v>0</v>
      </c>
    </row>
    <row r="1220" spans="1:6" s="570" customFormat="1">
      <c r="A1220" s="633"/>
      <c r="B1220" s="294"/>
      <c r="C1220" s="539"/>
      <c r="D1220" s="318"/>
      <c r="E1220" s="45"/>
      <c r="F1220" s="302">
        <f t="shared" si="30"/>
        <v>0</v>
      </c>
    </row>
    <row r="1221" spans="1:6" s="570" customFormat="1" ht="34.5" customHeight="1">
      <c r="A1221" s="633">
        <v>12</v>
      </c>
      <c r="B1221" s="294" t="s">
        <v>844</v>
      </c>
      <c r="C1221" s="539"/>
      <c r="D1221" s="318"/>
      <c r="E1221" s="45"/>
      <c r="F1221" s="302">
        <f t="shared" si="30"/>
        <v>0</v>
      </c>
    </row>
    <row r="1222" spans="1:6" s="570" customFormat="1" ht="38.25">
      <c r="A1222" s="633"/>
      <c r="B1222" s="434" t="s">
        <v>845</v>
      </c>
      <c r="C1222" s="539"/>
      <c r="D1222" s="318"/>
      <c r="E1222" s="45"/>
      <c r="F1222" s="302">
        <f t="shared" si="30"/>
        <v>0</v>
      </c>
    </row>
    <row r="1223" spans="1:6" s="570" customFormat="1" ht="58.5" customHeight="1">
      <c r="A1223" s="633"/>
      <c r="B1223" s="434" t="s">
        <v>957</v>
      </c>
      <c r="C1223" s="539"/>
      <c r="D1223" s="318"/>
      <c r="E1223" s="45"/>
      <c r="F1223" s="302">
        <f t="shared" si="30"/>
        <v>0</v>
      </c>
    </row>
    <row r="1224" spans="1:6" s="570" customFormat="1">
      <c r="A1224" s="633"/>
      <c r="B1224" s="434" t="s">
        <v>852</v>
      </c>
      <c r="C1224" s="539"/>
      <c r="D1224" s="318"/>
      <c r="E1224" s="45"/>
      <c r="F1224" s="302">
        <f t="shared" si="30"/>
        <v>0</v>
      </c>
    </row>
    <row r="1225" spans="1:6" s="570" customFormat="1" ht="76.5">
      <c r="A1225" s="633"/>
      <c r="B1225" s="434" t="s">
        <v>847</v>
      </c>
      <c r="C1225" s="539"/>
      <c r="D1225" s="318"/>
      <c r="E1225" s="45"/>
      <c r="F1225" s="302">
        <f t="shared" si="30"/>
        <v>0</v>
      </c>
    </row>
    <row r="1226" spans="1:6" s="570" customFormat="1" ht="216.75">
      <c r="A1226" s="633"/>
      <c r="B1226" s="434" t="s">
        <v>848</v>
      </c>
      <c r="C1226" s="539"/>
      <c r="D1226" s="318"/>
      <c r="E1226" s="45"/>
      <c r="F1226" s="302">
        <f t="shared" si="30"/>
        <v>0</v>
      </c>
    </row>
    <row r="1227" spans="1:6" s="570" customFormat="1" ht="76.5">
      <c r="A1227" s="284"/>
      <c r="B1227" s="434" t="s">
        <v>649</v>
      </c>
      <c r="C1227" s="530"/>
      <c r="D1227" s="287"/>
      <c r="E1227" s="13"/>
      <c r="F1227" s="302">
        <f t="shared" si="30"/>
        <v>0</v>
      </c>
    </row>
    <row r="1228" spans="1:6" s="571" customFormat="1" ht="28.5" customHeight="1">
      <c r="A1228" s="540"/>
      <c r="B1228" s="434" t="s">
        <v>619</v>
      </c>
      <c r="C1228" s="542"/>
      <c r="D1228" s="543"/>
      <c r="E1228" s="655"/>
      <c r="F1228" s="302">
        <f t="shared" si="30"/>
        <v>0</v>
      </c>
    </row>
    <row r="1229" spans="1:6" s="571" customFormat="1" ht="38.25">
      <c r="A1229" s="634"/>
      <c r="B1229" s="406" t="s">
        <v>945</v>
      </c>
      <c r="C1229" s="544"/>
      <c r="D1229" s="316"/>
      <c r="E1229" s="352"/>
      <c r="F1229" s="302">
        <f t="shared" si="30"/>
        <v>0</v>
      </c>
    </row>
    <row r="1230" spans="1:6" s="571" customFormat="1">
      <c r="A1230" s="540"/>
      <c r="B1230" s="434" t="s">
        <v>849</v>
      </c>
      <c r="C1230" s="542"/>
      <c r="D1230" s="543"/>
      <c r="E1230" s="655"/>
      <c r="F1230" s="302">
        <f t="shared" si="30"/>
        <v>0</v>
      </c>
    </row>
    <row r="1231" spans="1:6" s="571" customFormat="1">
      <c r="A1231" s="540"/>
      <c r="B1231" s="434" t="s">
        <v>254</v>
      </c>
      <c r="C1231" s="542"/>
      <c r="D1231" s="543"/>
      <c r="E1231" s="655"/>
      <c r="F1231" s="302">
        <f t="shared" si="30"/>
        <v>0</v>
      </c>
    </row>
    <row r="1232" spans="1:6" s="570" customFormat="1" ht="25.5">
      <c r="A1232" s="633"/>
      <c r="B1232" s="434" t="s">
        <v>958</v>
      </c>
      <c r="C1232" s="539" t="s">
        <v>34</v>
      </c>
      <c r="D1232" s="318">
        <v>10</v>
      </c>
      <c r="E1232" s="45"/>
      <c r="F1232" s="302">
        <f t="shared" si="30"/>
        <v>0</v>
      </c>
    </row>
    <row r="1233" spans="1:6" s="570" customFormat="1">
      <c r="A1233" s="633"/>
      <c r="B1233" s="434" t="s">
        <v>2009</v>
      </c>
      <c r="C1233" s="539" t="s">
        <v>34</v>
      </c>
      <c r="D1233" s="318">
        <v>2</v>
      </c>
      <c r="E1233" s="45"/>
      <c r="F1233" s="302">
        <f t="shared" si="30"/>
        <v>0</v>
      </c>
    </row>
    <row r="1234" spans="1:6" s="570" customFormat="1">
      <c r="A1234" s="633"/>
      <c r="B1234" s="434" t="s">
        <v>2010</v>
      </c>
      <c r="C1234" s="539" t="s">
        <v>34</v>
      </c>
      <c r="D1234" s="318">
        <f>D1232-D1233</f>
        <v>8</v>
      </c>
      <c r="E1234" s="45"/>
      <c r="F1234" s="302">
        <f t="shared" si="30"/>
        <v>0</v>
      </c>
    </row>
    <row r="1235" spans="1:6" s="570" customFormat="1">
      <c r="A1235" s="633"/>
      <c r="B1235" s="294"/>
      <c r="C1235" s="539"/>
      <c r="D1235" s="318"/>
      <c r="E1235" s="45"/>
      <c r="F1235" s="302">
        <f t="shared" si="30"/>
        <v>0</v>
      </c>
    </row>
    <row r="1236" spans="1:6" s="570" customFormat="1" ht="30">
      <c r="A1236" s="633">
        <v>13</v>
      </c>
      <c r="B1236" s="294" t="s">
        <v>850</v>
      </c>
      <c r="C1236" s="539"/>
      <c r="D1236" s="318"/>
      <c r="E1236" s="45"/>
      <c r="F1236" s="302">
        <f t="shared" si="30"/>
        <v>0</v>
      </c>
    </row>
    <row r="1237" spans="1:6" s="570" customFormat="1" ht="38.25">
      <c r="A1237" s="633"/>
      <c r="B1237" s="434" t="s">
        <v>959</v>
      </c>
      <c r="C1237" s="539"/>
      <c r="D1237" s="318"/>
      <c r="E1237" s="45"/>
      <c r="F1237" s="302">
        <f t="shared" si="30"/>
        <v>0</v>
      </c>
    </row>
    <row r="1238" spans="1:6" s="570" customFormat="1" ht="41.25" customHeight="1">
      <c r="A1238" s="633"/>
      <c r="B1238" s="434" t="s">
        <v>851</v>
      </c>
      <c r="C1238" s="539"/>
      <c r="D1238" s="318"/>
      <c r="E1238" s="45"/>
      <c r="F1238" s="302">
        <f t="shared" si="30"/>
        <v>0</v>
      </c>
    </row>
    <row r="1239" spans="1:6" s="570" customFormat="1">
      <c r="A1239" s="633"/>
      <c r="B1239" s="434" t="s">
        <v>852</v>
      </c>
      <c r="C1239" s="539"/>
      <c r="D1239" s="318"/>
      <c r="E1239" s="45"/>
      <c r="F1239" s="302">
        <f t="shared" si="30"/>
        <v>0</v>
      </c>
    </row>
    <row r="1240" spans="1:6" s="570" customFormat="1">
      <c r="A1240" s="633"/>
      <c r="B1240" s="434" t="s">
        <v>853</v>
      </c>
      <c r="C1240" s="539"/>
      <c r="D1240" s="318"/>
      <c r="E1240" s="45"/>
      <c r="F1240" s="302">
        <f t="shared" si="30"/>
        <v>0</v>
      </c>
    </row>
    <row r="1241" spans="1:6" s="570" customFormat="1" ht="153">
      <c r="A1241" s="633"/>
      <c r="B1241" s="434" t="s">
        <v>854</v>
      </c>
      <c r="C1241" s="539"/>
      <c r="D1241" s="318"/>
      <c r="E1241" s="45"/>
      <c r="F1241" s="302">
        <f t="shared" si="30"/>
        <v>0</v>
      </c>
    </row>
    <row r="1242" spans="1:6" s="570" customFormat="1" ht="76.5">
      <c r="A1242" s="284"/>
      <c r="B1242" s="434" t="s">
        <v>649</v>
      </c>
      <c r="C1242" s="530"/>
      <c r="D1242" s="287"/>
      <c r="E1242" s="13"/>
      <c r="F1242" s="302">
        <f t="shared" si="30"/>
        <v>0</v>
      </c>
    </row>
    <row r="1243" spans="1:6" s="571" customFormat="1" ht="28.5" customHeight="1">
      <c r="A1243" s="540"/>
      <c r="B1243" s="434" t="s">
        <v>619</v>
      </c>
      <c r="C1243" s="542"/>
      <c r="D1243" s="543"/>
      <c r="E1243" s="655"/>
      <c r="F1243" s="302">
        <f t="shared" si="30"/>
        <v>0</v>
      </c>
    </row>
    <row r="1244" spans="1:6" s="571" customFormat="1" ht="38.25">
      <c r="A1244" s="634"/>
      <c r="B1244" s="406" t="s">
        <v>945</v>
      </c>
      <c r="C1244" s="544"/>
      <c r="D1244" s="316"/>
      <c r="E1244" s="352"/>
      <c r="F1244" s="302">
        <f t="shared" si="30"/>
        <v>0</v>
      </c>
    </row>
    <row r="1245" spans="1:6" s="571" customFormat="1">
      <c r="A1245" s="540"/>
      <c r="B1245" s="434" t="s">
        <v>855</v>
      </c>
      <c r="C1245" s="542"/>
      <c r="D1245" s="543"/>
      <c r="E1245" s="655"/>
      <c r="F1245" s="302">
        <f t="shared" si="30"/>
        <v>0</v>
      </c>
    </row>
    <row r="1246" spans="1:6" s="571" customFormat="1">
      <c r="A1246" s="540"/>
      <c r="B1246" s="434" t="s">
        <v>254</v>
      </c>
      <c r="C1246" s="542"/>
      <c r="D1246" s="543"/>
      <c r="E1246" s="655"/>
      <c r="F1246" s="302">
        <f t="shared" si="30"/>
        <v>0</v>
      </c>
    </row>
    <row r="1247" spans="1:6" s="570" customFormat="1" ht="25.5">
      <c r="A1247" s="633"/>
      <c r="B1247" s="434" t="s">
        <v>960</v>
      </c>
      <c r="C1247" s="539" t="s">
        <v>34</v>
      </c>
      <c r="D1247" s="318">
        <v>3</v>
      </c>
      <c r="E1247" s="45"/>
      <c r="F1247" s="302">
        <f t="shared" si="30"/>
        <v>0</v>
      </c>
    </row>
    <row r="1248" spans="1:6" s="570" customFormat="1">
      <c r="A1248" s="633"/>
      <c r="B1248" s="294"/>
      <c r="C1248" s="539"/>
      <c r="D1248" s="318"/>
      <c r="E1248" s="45"/>
      <c r="F1248" s="302">
        <f t="shared" si="30"/>
        <v>0</v>
      </c>
    </row>
    <row r="1249" spans="1:6" s="570" customFormat="1" ht="32.25" customHeight="1">
      <c r="A1249" s="633">
        <v>14</v>
      </c>
      <c r="B1249" s="294" t="s">
        <v>856</v>
      </c>
      <c r="C1249" s="539"/>
      <c r="D1249" s="318"/>
      <c r="E1249" s="45"/>
      <c r="F1249" s="302">
        <f t="shared" si="30"/>
        <v>0</v>
      </c>
    </row>
    <row r="1250" spans="1:6" s="570" customFormat="1" ht="38.25">
      <c r="A1250" s="633"/>
      <c r="B1250" s="434" t="s">
        <v>857</v>
      </c>
      <c r="C1250" s="539"/>
      <c r="D1250" s="318"/>
      <c r="E1250" s="45"/>
      <c r="F1250" s="302">
        <f t="shared" si="30"/>
        <v>0</v>
      </c>
    </row>
    <row r="1251" spans="1:6" s="570" customFormat="1" ht="41.25" customHeight="1">
      <c r="A1251" s="633"/>
      <c r="B1251" s="434" t="s">
        <v>961</v>
      </c>
      <c r="C1251" s="539"/>
      <c r="D1251" s="318"/>
      <c r="E1251" s="45"/>
      <c r="F1251" s="302">
        <f t="shared" si="30"/>
        <v>0</v>
      </c>
    </row>
    <row r="1252" spans="1:6" s="570" customFormat="1">
      <c r="A1252" s="633"/>
      <c r="B1252" s="434" t="s">
        <v>852</v>
      </c>
      <c r="C1252" s="539"/>
      <c r="D1252" s="318"/>
      <c r="E1252" s="45"/>
      <c r="F1252" s="302">
        <f t="shared" si="30"/>
        <v>0</v>
      </c>
    </row>
    <row r="1253" spans="1:6" s="570" customFormat="1" ht="76.5">
      <c r="A1253" s="633"/>
      <c r="B1253" s="434" t="s">
        <v>858</v>
      </c>
      <c r="C1253" s="539"/>
      <c r="D1253" s="318"/>
      <c r="E1253" s="45"/>
      <c r="F1253" s="302">
        <f t="shared" si="30"/>
        <v>0</v>
      </c>
    </row>
    <row r="1254" spans="1:6" s="570" customFormat="1" ht="210" customHeight="1">
      <c r="A1254" s="633"/>
      <c r="B1254" s="434" t="s">
        <v>859</v>
      </c>
      <c r="C1254" s="539"/>
      <c r="D1254" s="318"/>
      <c r="E1254" s="45"/>
      <c r="F1254" s="302">
        <f t="shared" si="30"/>
        <v>0</v>
      </c>
    </row>
    <row r="1255" spans="1:6" s="570" customFormat="1" ht="76.5">
      <c r="A1255" s="284"/>
      <c r="B1255" s="434" t="s">
        <v>649</v>
      </c>
      <c r="C1255" s="530"/>
      <c r="D1255" s="287"/>
      <c r="E1255" s="13"/>
      <c r="F1255" s="302">
        <f t="shared" si="30"/>
        <v>0</v>
      </c>
    </row>
    <row r="1256" spans="1:6" s="571" customFormat="1" ht="28.5" customHeight="1">
      <c r="A1256" s="540"/>
      <c r="B1256" s="434" t="s">
        <v>619</v>
      </c>
      <c r="C1256" s="542"/>
      <c r="D1256" s="543"/>
      <c r="E1256" s="655"/>
      <c r="F1256" s="302">
        <f t="shared" si="30"/>
        <v>0</v>
      </c>
    </row>
    <row r="1257" spans="1:6" s="571" customFormat="1" ht="38.25">
      <c r="A1257" s="634"/>
      <c r="B1257" s="406" t="s">
        <v>945</v>
      </c>
      <c r="C1257" s="544"/>
      <c r="D1257" s="316"/>
      <c r="E1257" s="352"/>
      <c r="F1257" s="302">
        <f t="shared" si="30"/>
        <v>0</v>
      </c>
    </row>
    <row r="1258" spans="1:6" s="571" customFormat="1">
      <c r="A1258" s="540"/>
      <c r="B1258" s="434" t="s">
        <v>860</v>
      </c>
      <c r="C1258" s="542"/>
      <c r="D1258" s="543"/>
      <c r="E1258" s="655"/>
      <c r="F1258" s="302">
        <f t="shared" si="30"/>
        <v>0</v>
      </c>
    </row>
    <row r="1259" spans="1:6" s="571" customFormat="1">
      <c r="A1259" s="540"/>
      <c r="B1259" s="434" t="s">
        <v>254</v>
      </c>
      <c r="C1259" s="542"/>
      <c r="D1259" s="543"/>
      <c r="E1259" s="655"/>
      <c r="F1259" s="302">
        <f t="shared" si="30"/>
        <v>0</v>
      </c>
    </row>
    <row r="1260" spans="1:6" s="570" customFormat="1" ht="25.5">
      <c r="A1260" s="633"/>
      <c r="B1260" s="434" t="s">
        <v>962</v>
      </c>
      <c r="C1260" s="539" t="s">
        <v>34</v>
      </c>
      <c r="D1260" s="318">
        <v>10</v>
      </c>
      <c r="E1260" s="45"/>
      <c r="F1260" s="302">
        <f t="shared" si="30"/>
        <v>0</v>
      </c>
    </row>
    <row r="1261" spans="1:6" s="570" customFormat="1">
      <c r="A1261" s="633"/>
      <c r="B1261" s="434" t="s">
        <v>2009</v>
      </c>
      <c r="C1261" s="539" t="s">
        <v>34</v>
      </c>
      <c r="D1261" s="318">
        <v>2</v>
      </c>
      <c r="E1261" s="45"/>
      <c r="F1261" s="302">
        <f t="shared" si="30"/>
        <v>0</v>
      </c>
    </row>
    <row r="1262" spans="1:6" s="570" customFormat="1">
      <c r="A1262" s="633"/>
      <c r="B1262" s="434" t="s">
        <v>2010</v>
      </c>
      <c r="C1262" s="539" t="s">
        <v>34</v>
      </c>
      <c r="D1262" s="318">
        <f>D1260-D1261</f>
        <v>8</v>
      </c>
      <c r="E1262" s="45"/>
      <c r="F1262" s="302">
        <f t="shared" si="30"/>
        <v>0</v>
      </c>
    </row>
    <row r="1263" spans="1:6" s="570" customFormat="1">
      <c r="A1263" s="633"/>
      <c r="B1263" s="294"/>
      <c r="C1263" s="539"/>
      <c r="D1263" s="318"/>
      <c r="E1263" s="45"/>
      <c r="F1263" s="302">
        <f t="shared" si="30"/>
        <v>0</v>
      </c>
    </row>
    <row r="1264" spans="1:6" s="570" customFormat="1" ht="45">
      <c r="A1264" s="633">
        <v>15</v>
      </c>
      <c r="B1264" s="294" t="s">
        <v>1964</v>
      </c>
      <c r="C1264" s="539"/>
      <c r="D1264" s="318"/>
      <c r="E1264" s="45"/>
      <c r="F1264" s="302">
        <f t="shared" si="30"/>
        <v>0</v>
      </c>
    </row>
    <row r="1265" spans="1:6" s="570" customFormat="1" ht="38.25">
      <c r="A1265" s="633"/>
      <c r="B1265" s="434" t="s">
        <v>861</v>
      </c>
      <c r="C1265" s="539"/>
      <c r="D1265" s="318"/>
      <c r="E1265" s="45"/>
      <c r="F1265" s="302">
        <f t="shared" si="30"/>
        <v>0</v>
      </c>
    </row>
    <row r="1266" spans="1:6" s="570" customFormat="1" ht="58.5" customHeight="1">
      <c r="A1266" s="633"/>
      <c r="B1266" s="434" t="s">
        <v>961</v>
      </c>
      <c r="C1266" s="539"/>
      <c r="D1266" s="318"/>
      <c r="E1266" s="45"/>
      <c r="F1266" s="302">
        <f t="shared" si="30"/>
        <v>0</v>
      </c>
    </row>
    <row r="1267" spans="1:6" s="570" customFormat="1">
      <c r="A1267" s="633"/>
      <c r="B1267" s="434" t="s">
        <v>852</v>
      </c>
      <c r="C1267" s="539"/>
      <c r="D1267" s="318"/>
      <c r="E1267" s="45"/>
      <c r="F1267" s="302">
        <f t="shared" si="30"/>
        <v>0</v>
      </c>
    </row>
    <row r="1268" spans="1:6" s="570" customFormat="1" ht="82.5" customHeight="1">
      <c r="A1268" s="633"/>
      <c r="B1268" s="434" t="s">
        <v>862</v>
      </c>
      <c r="C1268" s="539"/>
      <c r="D1268" s="318"/>
      <c r="E1268" s="45"/>
      <c r="F1268" s="302">
        <f t="shared" si="30"/>
        <v>0</v>
      </c>
    </row>
    <row r="1269" spans="1:6" s="570" customFormat="1" ht="207.75" customHeight="1">
      <c r="A1269" s="633"/>
      <c r="B1269" s="434" t="s">
        <v>859</v>
      </c>
      <c r="C1269" s="539"/>
      <c r="D1269" s="318"/>
      <c r="E1269" s="45"/>
      <c r="F1269" s="302">
        <f t="shared" si="30"/>
        <v>0</v>
      </c>
    </row>
    <row r="1270" spans="1:6" s="570" customFormat="1" ht="76.5">
      <c r="A1270" s="284"/>
      <c r="B1270" s="434" t="s">
        <v>649</v>
      </c>
      <c r="C1270" s="530"/>
      <c r="D1270" s="287"/>
      <c r="E1270" s="13"/>
      <c r="F1270" s="302">
        <f t="shared" si="30"/>
        <v>0</v>
      </c>
    </row>
    <row r="1271" spans="1:6" s="571" customFormat="1" ht="28.5" customHeight="1">
      <c r="A1271" s="540"/>
      <c r="B1271" s="434" t="s">
        <v>619</v>
      </c>
      <c r="C1271" s="542"/>
      <c r="D1271" s="543"/>
      <c r="E1271" s="655"/>
      <c r="F1271" s="302">
        <f t="shared" si="30"/>
        <v>0</v>
      </c>
    </row>
    <row r="1272" spans="1:6" s="571" customFormat="1" ht="38.25">
      <c r="A1272" s="634"/>
      <c r="B1272" s="406" t="s">
        <v>945</v>
      </c>
      <c r="C1272" s="544"/>
      <c r="D1272" s="316"/>
      <c r="E1272" s="352"/>
      <c r="F1272" s="302">
        <f t="shared" si="30"/>
        <v>0</v>
      </c>
    </row>
    <row r="1273" spans="1:6" s="571" customFormat="1">
      <c r="A1273" s="540"/>
      <c r="B1273" s="434" t="s">
        <v>863</v>
      </c>
      <c r="C1273" s="542"/>
      <c r="D1273" s="543"/>
      <c r="E1273" s="655"/>
      <c r="F1273" s="302">
        <f t="shared" ref="F1273:F1336" si="31">D1273*E1273</f>
        <v>0</v>
      </c>
    </row>
    <row r="1274" spans="1:6" s="571" customFormat="1">
      <c r="A1274" s="540"/>
      <c r="B1274" s="434" t="s">
        <v>254</v>
      </c>
      <c r="C1274" s="542"/>
      <c r="D1274" s="543"/>
      <c r="E1274" s="655"/>
      <c r="F1274" s="302">
        <f t="shared" si="31"/>
        <v>0</v>
      </c>
    </row>
    <row r="1275" spans="1:6" s="570" customFormat="1" ht="25.5">
      <c r="A1275" s="633"/>
      <c r="B1275" s="434" t="s">
        <v>963</v>
      </c>
      <c r="C1275" s="539" t="s">
        <v>34</v>
      </c>
      <c r="D1275" s="318">
        <v>1</v>
      </c>
      <c r="E1275" s="45"/>
      <c r="F1275" s="302">
        <f t="shared" si="31"/>
        <v>0</v>
      </c>
    </row>
    <row r="1276" spans="1:6" s="570" customFormat="1">
      <c r="A1276" s="633"/>
      <c r="B1276" s="434" t="s">
        <v>2009</v>
      </c>
      <c r="C1276" s="539" t="s">
        <v>34</v>
      </c>
      <c r="D1276" s="318">
        <v>1</v>
      </c>
      <c r="E1276" s="45"/>
      <c r="F1276" s="302">
        <f t="shared" si="31"/>
        <v>0</v>
      </c>
    </row>
    <row r="1277" spans="1:6" s="570" customFormat="1">
      <c r="A1277" s="633"/>
      <c r="B1277" s="434"/>
      <c r="C1277" s="539"/>
      <c r="D1277" s="318"/>
      <c r="E1277" s="45"/>
      <c r="F1277" s="302">
        <f t="shared" si="31"/>
        <v>0</v>
      </c>
    </row>
    <row r="1278" spans="1:6" s="570" customFormat="1" ht="41.25" customHeight="1">
      <c r="A1278" s="633">
        <v>16</v>
      </c>
      <c r="B1278" s="294" t="s">
        <v>879</v>
      </c>
      <c r="C1278" s="539"/>
      <c r="D1278" s="318"/>
      <c r="E1278" s="45"/>
      <c r="F1278" s="302">
        <f t="shared" si="31"/>
        <v>0</v>
      </c>
    </row>
    <row r="1279" spans="1:6" s="570" customFormat="1" ht="38.25">
      <c r="A1279" s="633"/>
      <c r="B1279" s="434" t="s">
        <v>880</v>
      </c>
      <c r="C1279" s="539"/>
      <c r="D1279" s="318"/>
      <c r="E1279" s="45"/>
      <c r="F1279" s="302">
        <f t="shared" si="31"/>
        <v>0</v>
      </c>
    </row>
    <row r="1280" spans="1:6" s="570" customFormat="1" ht="58.5" customHeight="1">
      <c r="A1280" s="633"/>
      <c r="B1280" s="434" t="s">
        <v>961</v>
      </c>
      <c r="C1280" s="539"/>
      <c r="D1280" s="318"/>
      <c r="E1280" s="45"/>
      <c r="F1280" s="302">
        <f t="shared" si="31"/>
        <v>0</v>
      </c>
    </row>
    <row r="1281" spans="1:6" s="570" customFormat="1">
      <c r="A1281" s="633"/>
      <c r="B1281" s="434" t="s">
        <v>852</v>
      </c>
      <c r="C1281" s="539"/>
      <c r="D1281" s="318"/>
      <c r="E1281" s="45"/>
      <c r="F1281" s="302">
        <f t="shared" si="31"/>
        <v>0</v>
      </c>
    </row>
    <row r="1282" spans="1:6" s="570" customFormat="1" ht="82.5" customHeight="1">
      <c r="A1282" s="633"/>
      <c r="B1282" s="434" t="s">
        <v>858</v>
      </c>
      <c r="C1282" s="539"/>
      <c r="D1282" s="318"/>
      <c r="E1282" s="45"/>
      <c r="F1282" s="302">
        <f t="shared" si="31"/>
        <v>0</v>
      </c>
    </row>
    <row r="1283" spans="1:6" s="570" customFormat="1" ht="171.75" customHeight="1">
      <c r="A1283" s="633"/>
      <c r="B1283" s="434" t="s">
        <v>964</v>
      </c>
      <c r="C1283" s="539"/>
      <c r="D1283" s="318"/>
      <c r="E1283" s="45"/>
      <c r="F1283" s="302">
        <f t="shared" si="31"/>
        <v>0</v>
      </c>
    </row>
    <row r="1284" spans="1:6" s="570" customFormat="1" ht="118.5" customHeight="1">
      <c r="A1284" s="633"/>
      <c r="B1284" s="434" t="s">
        <v>881</v>
      </c>
      <c r="C1284" s="539"/>
      <c r="D1284" s="318"/>
      <c r="E1284" s="45"/>
      <c r="F1284" s="302">
        <f t="shared" si="31"/>
        <v>0</v>
      </c>
    </row>
    <row r="1285" spans="1:6" s="570" customFormat="1" ht="76.5">
      <c r="A1285" s="284"/>
      <c r="B1285" s="434" t="s">
        <v>649</v>
      </c>
      <c r="C1285" s="530"/>
      <c r="D1285" s="287"/>
      <c r="E1285" s="13"/>
      <c r="F1285" s="302">
        <f t="shared" si="31"/>
        <v>0</v>
      </c>
    </row>
    <row r="1286" spans="1:6" s="571" customFormat="1" ht="28.5" customHeight="1">
      <c r="A1286" s="540"/>
      <c r="B1286" s="434" t="s">
        <v>619</v>
      </c>
      <c r="C1286" s="542"/>
      <c r="D1286" s="543"/>
      <c r="E1286" s="655"/>
      <c r="F1286" s="302">
        <f t="shared" si="31"/>
        <v>0</v>
      </c>
    </row>
    <row r="1287" spans="1:6" s="571" customFormat="1" ht="38.25">
      <c r="A1287" s="634"/>
      <c r="B1287" s="406" t="s">
        <v>945</v>
      </c>
      <c r="C1287" s="544"/>
      <c r="D1287" s="316"/>
      <c r="E1287" s="352"/>
      <c r="F1287" s="302">
        <f t="shared" si="31"/>
        <v>0</v>
      </c>
    </row>
    <row r="1288" spans="1:6" s="571" customFormat="1">
      <c r="A1288" s="540"/>
      <c r="B1288" s="434" t="s">
        <v>882</v>
      </c>
      <c r="C1288" s="542"/>
      <c r="D1288" s="543"/>
      <c r="E1288" s="655"/>
      <c r="F1288" s="302">
        <f t="shared" si="31"/>
        <v>0</v>
      </c>
    </row>
    <row r="1289" spans="1:6" s="571" customFormat="1">
      <c r="A1289" s="540"/>
      <c r="B1289" s="434" t="s">
        <v>254</v>
      </c>
      <c r="C1289" s="542"/>
      <c r="D1289" s="543"/>
      <c r="E1289" s="655"/>
      <c r="F1289" s="302">
        <f t="shared" si="31"/>
        <v>0</v>
      </c>
    </row>
    <row r="1290" spans="1:6" s="570" customFormat="1" ht="25.5">
      <c r="A1290" s="633"/>
      <c r="B1290" s="434" t="s">
        <v>965</v>
      </c>
      <c r="C1290" s="539" t="s">
        <v>34</v>
      </c>
      <c r="D1290" s="318">
        <v>6</v>
      </c>
      <c r="E1290" s="45"/>
      <c r="F1290" s="302">
        <f t="shared" si="31"/>
        <v>0</v>
      </c>
    </row>
    <row r="1291" spans="1:6" s="570" customFormat="1">
      <c r="A1291" s="633"/>
      <c r="B1291" s="434" t="s">
        <v>2009</v>
      </c>
      <c r="C1291" s="539" t="s">
        <v>34</v>
      </c>
      <c r="D1291" s="318">
        <v>2</v>
      </c>
      <c r="E1291" s="45"/>
      <c r="F1291" s="302">
        <f t="shared" si="31"/>
        <v>0</v>
      </c>
    </row>
    <row r="1292" spans="1:6" s="570" customFormat="1">
      <c r="A1292" s="633"/>
      <c r="B1292" s="434" t="s">
        <v>2010</v>
      </c>
      <c r="C1292" s="539" t="s">
        <v>34</v>
      </c>
      <c r="D1292" s="318">
        <f>D1290-D1291</f>
        <v>4</v>
      </c>
      <c r="E1292" s="45"/>
      <c r="F1292" s="302">
        <f t="shared" si="31"/>
        <v>0</v>
      </c>
    </row>
    <row r="1293" spans="1:6" s="570" customFormat="1">
      <c r="A1293" s="633"/>
      <c r="B1293" s="434"/>
      <c r="C1293" s="539"/>
      <c r="D1293" s="318"/>
      <c r="E1293" s="45"/>
      <c r="F1293" s="302">
        <f t="shared" si="31"/>
        <v>0</v>
      </c>
    </row>
    <row r="1294" spans="1:6" s="570" customFormat="1" ht="45">
      <c r="A1294" s="633">
        <v>17</v>
      </c>
      <c r="B1294" s="294" t="s">
        <v>966</v>
      </c>
      <c r="C1294" s="539"/>
      <c r="D1294" s="318"/>
      <c r="E1294" s="45"/>
      <c r="F1294" s="302">
        <f t="shared" si="31"/>
        <v>0</v>
      </c>
    </row>
    <row r="1295" spans="1:6" s="570" customFormat="1" ht="51">
      <c r="A1295" s="633"/>
      <c r="B1295" s="434" t="s">
        <v>967</v>
      </c>
      <c r="C1295" s="539"/>
      <c r="D1295" s="318"/>
      <c r="E1295" s="45"/>
      <c r="F1295" s="302">
        <f t="shared" si="31"/>
        <v>0</v>
      </c>
    </row>
    <row r="1296" spans="1:6" s="570" customFormat="1" ht="46.5" customHeight="1">
      <c r="A1296" s="633"/>
      <c r="B1296" s="434" t="s">
        <v>961</v>
      </c>
      <c r="C1296" s="539"/>
      <c r="D1296" s="318"/>
      <c r="E1296" s="45"/>
      <c r="F1296" s="302">
        <f t="shared" si="31"/>
        <v>0</v>
      </c>
    </row>
    <row r="1297" spans="1:6" s="570" customFormat="1">
      <c r="A1297" s="633"/>
      <c r="B1297" s="434" t="s">
        <v>852</v>
      </c>
      <c r="C1297" s="539"/>
      <c r="D1297" s="318"/>
      <c r="E1297" s="45"/>
      <c r="F1297" s="302">
        <f t="shared" si="31"/>
        <v>0</v>
      </c>
    </row>
    <row r="1298" spans="1:6" s="570" customFormat="1" ht="82.5" customHeight="1">
      <c r="A1298" s="633"/>
      <c r="B1298" s="434" t="s">
        <v>862</v>
      </c>
      <c r="C1298" s="539"/>
      <c r="D1298" s="318"/>
      <c r="E1298" s="45"/>
      <c r="F1298" s="302">
        <f t="shared" si="31"/>
        <v>0</v>
      </c>
    </row>
    <row r="1299" spans="1:6" s="570" customFormat="1" ht="171.75" customHeight="1">
      <c r="A1299" s="633"/>
      <c r="B1299" s="434" t="s">
        <v>968</v>
      </c>
      <c r="C1299" s="539"/>
      <c r="D1299" s="318"/>
      <c r="E1299" s="45"/>
      <c r="F1299" s="302">
        <f t="shared" si="31"/>
        <v>0</v>
      </c>
    </row>
    <row r="1300" spans="1:6" s="570" customFormat="1" ht="117.75" customHeight="1">
      <c r="A1300" s="633"/>
      <c r="B1300" s="434" t="s">
        <v>881</v>
      </c>
      <c r="C1300" s="539"/>
      <c r="D1300" s="318"/>
      <c r="E1300" s="45"/>
      <c r="F1300" s="302">
        <f t="shared" si="31"/>
        <v>0</v>
      </c>
    </row>
    <row r="1301" spans="1:6" s="570" customFormat="1" ht="76.5">
      <c r="A1301" s="284"/>
      <c r="B1301" s="434" t="s">
        <v>649</v>
      </c>
      <c r="C1301" s="530"/>
      <c r="D1301" s="287"/>
      <c r="E1301" s="13"/>
      <c r="F1301" s="302">
        <f t="shared" si="31"/>
        <v>0</v>
      </c>
    </row>
    <row r="1302" spans="1:6" s="571" customFormat="1" ht="28.5" customHeight="1">
      <c r="A1302" s="540"/>
      <c r="B1302" s="434" t="s">
        <v>619</v>
      </c>
      <c r="C1302" s="542"/>
      <c r="D1302" s="543"/>
      <c r="E1302" s="655"/>
      <c r="F1302" s="302">
        <f t="shared" si="31"/>
        <v>0</v>
      </c>
    </row>
    <row r="1303" spans="1:6" s="571" customFormat="1" ht="38.25">
      <c r="A1303" s="634"/>
      <c r="B1303" s="406" t="s">
        <v>945</v>
      </c>
      <c r="C1303" s="544"/>
      <c r="D1303" s="316"/>
      <c r="E1303" s="352"/>
      <c r="F1303" s="302">
        <f t="shared" si="31"/>
        <v>0</v>
      </c>
    </row>
    <row r="1304" spans="1:6" s="571" customFormat="1">
      <c r="A1304" s="540"/>
      <c r="B1304" s="434" t="s">
        <v>883</v>
      </c>
      <c r="C1304" s="542"/>
      <c r="D1304" s="543"/>
      <c r="E1304" s="655"/>
      <c r="F1304" s="302">
        <f t="shared" si="31"/>
        <v>0</v>
      </c>
    </row>
    <row r="1305" spans="1:6" s="571" customFormat="1">
      <c r="A1305" s="540"/>
      <c r="B1305" s="434" t="s">
        <v>254</v>
      </c>
      <c r="C1305" s="542"/>
      <c r="D1305" s="543"/>
      <c r="E1305" s="655"/>
      <c r="F1305" s="302">
        <f t="shared" si="31"/>
        <v>0</v>
      </c>
    </row>
    <row r="1306" spans="1:6" s="570" customFormat="1" ht="25.5">
      <c r="A1306" s="633"/>
      <c r="B1306" s="434" t="s">
        <v>963</v>
      </c>
      <c r="C1306" s="539" t="s">
        <v>34</v>
      </c>
      <c r="D1306" s="318">
        <v>5</v>
      </c>
      <c r="E1306" s="45"/>
      <c r="F1306" s="302">
        <f t="shared" si="31"/>
        <v>0</v>
      </c>
    </row>
    <row r="1307" spans="1:6" s="570" customFormat="1">
      <c r="A1307" s="633"/>
      <c r="B1307" s="434" t="s">
        <v>2009</v>
      </c>
      <c r="C1307" s="539" t="s">
        <v>34</v>
      </c>
      <c r="D1307" s="318">
        <v>1</v>
      </c>
      <c r="E1307" s="45"/>
      <c r="F1307" s="302">
        <f t="shared" si="31"/>
        <v>0</v>
      </c>
    </row>
    <row r="1308" spans="1:6" s="570" customFormat="1">
      <c r="A1308" s="633"/>
      <c r="B1308" s="434" t="s">
        <v>2010</v>
      </c>
      <c r="C1308" s="539" t="s">
        <v>34</v>
      </c>
      <c r="D1308" s="318">
        <f>D1306-D1307</f>
        <v>4</v>
      </c>
      <c r="E1308" s="45"/>
      <c r="F1308" s="302">
        <f t="shared" si="31"/>
        <v>0</v>
      </c>
    </row>
    <row r="1309" spans="1:6" s="570" customFormat="1">
      <c r="A1309" s="633"/>
      <c r="B1309" s="434"/>
      <c r="C1309" s="539"/>
      <c r="D1309" s="318"/>
      <c r="E1309" s="45"/>
      <c r="F1309" s="302">
        <f t="shared" si="31"/>
        <v>0</v>
      </c>
    </row>
    <row r="1310" spans="1:6" s="571" customFormat="1">
      <c r="A1310" s="634"/>
      <c r="B1310" s="474" t="s">
        <v>753</v>
      </c>
      <c r="C1310" s="539"/>
      <c r="D1310" s="318"/>
      <c r="E1310" s="352"/>
      <c r="F1310" s="302">
        <f t="shared" si="31"/>
        <v>0</v>
      </c>
    </row>
    <row r="1311" spans="1:6" s="571" customFormat="1">
      <c r="A1311" s="634"/>
      <c r="B1311" s="406"/>
      <c r="C1311" s="539"/>
      <c r="D1311" s="318"/>
      <c r="E1311" s="352"/>
      <c r="F1311" s="302">
        <f t="shared" si="31"/>
        <v>0</v>
      </c>
    </row>
    <row r="1312" spans="1:6" s="571" customFormat="1" ht="30">
      <c r="A1312" s="633">
        <v>18</v>
      </c>
      <c r="B1312" s="294" t="s">
        <v>769</v>
      </c>
      <c r="C1312" s="539"/>
      <c r="D1312" s="318"/>
      <c r="E1312" s="352"/>
      <c r="F1312" s="302">
        <f t="shared" si="31"/>
        <v>0</v>
      </c>
    </row>
    <row r="1313" spans="1:6" s="571" customFormat="1" ht="25.5">
      <c r="A1313" s="634"/>
      <c r="B1313" s="406" t="s">
        <v>763</v>
      </c>
      <c r="C1313" s="539"/>
      <c r="D1313" s="318"/>
      <c r="E1313" s="352"/>
      <c r="F1313" s="302">
        <f t="shared" si="31"/>
        <v>0</v>
      </c>
    </row>
    <row r="1314" spans="1:6" s="571" customFormat="1">
      <c r="A1314" s="634"/>
      <c r="B1314" s="406" t="s">
        <v>785</v>
      </c>
      <c r="C1314" s="539"/>
      <c r="D1314" s="318"/>
      <c r="E1314" s="352"/>
      <c r="F1314" s="302">
        <f t="shared" si="31"/>
        <v>0</v>
      </c>
    </row>
    <row r="1315" spans="1:6" s="571" customFormat="1" ht="25.5">
      <c r="A1315" s="634"/>
      <c r="B1315" s="406" t="s">
        <v>969</v>
      </c>
      <c r="C1315" s="539"/>
      <c r="D1315" s="318"/>
      <c r="E1315" s="352"/>
      <c r="F1315" s="302">
        <f t="shared" si="31"/>
        <v>0</v>
      </c>
    </row>
    <row r="1316" spans="1:6" s="571" customFormat="1" ht="33.75" customHeight="1">
      <c r="A1316" s="634"/>
      <c r="B1316" s="406" t="s">
        <v>764</v>
      </c>
      <c r="C1316" s="539"/>
      <c r="D1316" s="318"/>
      <c r="E1316" s="352"/>
      <c r="F1316" s="302">
        <f t="shared" si="31"/>
        <v>0</v>
      </c>
    </row>
    <row r="1317" spans="1:6" s="570" customFormat="1" ht="108.75" customHeight="1">
      <c r="A1317" s="633"/>
      <c r="B1317" s="406" t="s">
        <v>908</v>
      </c>
      <c r="C1317" s="539"/>
      <c r="D1317" s="318"/>
      <c r="E1317" s="45"/>
      <c r="F1317" s="302">
        <f t="shared" si="31"/>
        <v>0</v>
      </c>
    </row>
    <row r="1318" spans="1:6" s="571" customFormat="1" ht="51">
      <c r="A1318" s="634"/>
      <c r="B1318" s="406" t="s">
        <v>887</v>
      </c>
      <c r="C1318" s="544"/>
      <c r="D1318" s="316"/>
      <c r="E1318" s="352"/>
      <c r="F1318" s="302">
        <f t="shared" si="31"/>
        <v>0</v>
      </c>
    </row>
    <row r="1319" spans="1:6" s="571" customFormat="1">
      <c r="A1319" s="634"/>
      <c r="B1319" s="406" t="s">
        <v>124</v>
      </c>
      <c r="C1319" s="635"/>
      <c r="D1319" s="316"/>
      <c r="E1319" s="352"/>
      <c r="F1319" s="302">
        <f t="shared" si="31"/>
        <v>0</v>
      </c>
    </row>
    <row r="1320" spans="1:6" s="570" customFormat="1">
      <c r="A1320" s="633"/>
      <c r="B1320" s="406" t="s">
        <v>674</v>
      </c>
      <c r="C1320" s="636"/>
      <c r="D1320" s="318"/>
      <c r="E1320" s="45"/>
      <c r="F1320" s="302">
        <f t="shared" si="31"/>
        <v>0</v>
      </c>
    </row>
    <row r="1321" spans="1:6" s="570" customFormat="1">
      <c r="A1321" s="633"/>
      <c r="B1321" s="406" t="s">
        <v>765</v>
      </c>
      <c r="C1321" s="539"/>
      <c r="D1321" s="318"/>
      <c r="E1321" s="45"/>
      <c r="F1321" s="302">
        <f t="shared" si="31"/>
        <v>0</v>
      </c>
    </row>
    <row r="1322" spans="1:6" s="570" customFormat="1" ht="38.25">
      <c r="A1322" s="633"/>
      <c r="B1322" s="406" t="s">
        <v>766</v>
      </c>
      <c r="C1322" s="539" t="s">
        <v>34</v>
      </c>
      <c r="D1322" s="318">
        <v>3</v>
      </c>
      <c r="E1322" s="45"/>
      <c r="F1322" s="302">
        <f t="shared" si="31"/>
        <v>0</v>
      </c>
    </row>
    <row r="1323" spans="1:6" s="570" customFormat="1" ht="38.25">
      <c r="A1323" s="633"/>
      <c r="B1323" s="406" t="s">
        <v>767</v>
      </c>
      <c r="C1323" s="539" t="s">
        <v>34</v>
      </c>
      <c r="D1323" s="318">
        <v>4</v>
      </c>
      <c r="E1323" s="45"/>
      <c r="F1323" s="302">
        <f t="shared" si="31"/>
        <v>0</v>
      </c>
    </row>
    <row r="1324" spans="1:6" s="570" customFormat="1" ht="38.25">
      <c r="A1324" s="633"/>
      <c r="B1324" s="406" t="s">
        <v>768</v>
      </c>
      <c r="C1324" s="539" t="s">
        <v>34</v>
      </c>
      <c r="D1324" s="318">
        <v>4</v>
      </c>
      <c r="E1324" s="45"/>
      <c r="F1324" s="302">
        <f t="shared" si="31"/>
        <v>0</v>
      </c>
    </row>
    <row r="1325" spans="1:6" s="570" customFormat="1">
      <c r="A1325" s="633"/>
      <c r="B1325" s="406"/>
      <c r="C1325" s="539"/>
      <c r="D1325" s="318"/>
      <c r="E1325" s="45"/>
      <c r="F1325" s="302">
        <f t="shared" si="31"/>
        <v>0</v>
      </c>
    </row>
    <row r="1326" spans="1:6" s="571" customFormat="1" ht="45">
      <c r="A1326" s="633">
        <v>19</v>
      </c>
      <c r="B1326" s="294" t="s">
        <v>804</v>
      </c>
      <c r="C1326" s="539"/>
      <c r="D1326" s="318"/>
      <c r="E1326" s="352"/>
      <c r="F1326" s="302">
        <f t="shared" si="31"/>
        <v>0</v>
      </c>
    </row>
    <row r="1327" spans="1:6" s="571" customFormat="1" ht="25.5">
      <c r="A1327" s="634"/>
      <c r="B1327" s="406" t="s">
        <v>770</v>
      </c>
      <c r="C1327" s="539"/>
      <c r="D1327" s="318"/>
      <c r="E1327" s="352"/>
      <c r="F1327" s="302">
        <f t="shared" si="31"/>
        <v>0</v>
      </c>
    </row>
    <row r="1328" spans="1:6" s="571" customFormat="1">
      <c r="A1328" s="634"/>
      <c r="B1328" s="406" t="s">
        <v>786</v>
      </c>
      <c r="C1328" s="539"/>
      <c r="D1328" s="318"/>
      <c r="E1328" s="352"/>
      <c r="F1328" s="302">
        <f t="shared" si="31"/>
        <v>0</v>
      </c>
    </row>
    <row r="1329" spans="1:6" s="571" customFormat="1" ht="25.5">
      <c r="A1329" s="634"/>
      <c r="B1329" s="406" t="s">
        <v>969</v>
      </c>
      <c r="C1329" s="539"/>
      <c r="D1329" s="318"/>
      <c r="E1329" s="352"/>
      <c r="F1329" s="302">
        <f t="shared" si="31"/>
        <v>0</v>
      </c>
    </row>
    <row r="1330" spans="1:6" s="571" customFormat="1">
      <c r="A1330" s="634"/>
      <c r="B1330" s="406" t="s">
        <v>771</v>
      </c>
      <c r="C1330" s="539"/>
      <c r="D1330" s="318"/>
      <c r="E1330" s="352"/>
      <c r="F1330" s="302">
        <f t="shared" si="31"/>
        <v>0</v>
      </c>
    </row>
    <row r="1331" spans="1:6" s="571" customFormat="1" ht="21" customHeight="1">
      <c r="A1331" s="634"/>
      <c r="B1331" s="406" t="s">
        <v>764</v>
      </c>
      <c r="C1331" s="539"/>
      <c r="D1331" s="318"/>
      <c r="E1331" s="352"/>
      <c r="F1331" s="302">
        <f t="shared" si="31"/>
        <v>0</v>
      </c>
    </row>
    <row r="1332" spans="1:6" s="571" customFormat="1" ht="21" customHeight="1">
      <c r="A1332" s="634"/>
      <c r="B1332" s="406" t="s">
        <v>772</v>
      </c>
      <c r="C1332" s="539"/>
      <c r="D1332" s="318"/>
      <c r="E1332" s="352"/>
      <c r="F1332" s="302">
        <f t="shared" si="31"/>
        <v>0</v>
      </c>
    </row>
    <row r="1333" spans="1:6" s="570" customFormat="1" ht="106.5" customHeight="1">
      <c r="A1333" s="633"/>
      <c r="B1333" s="406" t="s">
        <v>908</v>
      </c>
      <c r="C1333" s="539"/>
      <c r="D1333" s="318"/>
      <c r="E1333" s="45"/>
      <c r="F1333" s="302">
        <f t="shared" si="31"/>
        <v>0</v>
      </c>
    </row>
    <row r="1334" spans="1:6" s="571" customFormat="1" ht="51">
      <c r="A1334" s="634"/>
      <c r="B1334" s="406" t="s">
        <v>887</v>
      </c>
      <c r="C1334" s="544"/>
      <c r="D1334" s="316"/>
      <c r="E1334" s="352"/>
      <c r="F1334" s="302">
        <f t="shared" si="31"/>
        <v>0</v>
      </c>
    </row>
    <row r="1335" spans="1:6" s="571" customFormat="1">
      <c r="A1335" s="634"/>
      <c r="B1335" s="406" t="s">
        <v>124</v>
      </c>
      <c r="C1335" s="635"/>
      <c r="D1335" s="316"/>
      <c r="E1335" s="352"/>
      <c r="F1335" s="302">
        <f t="shared" si="31"/>
        <v>0</v>
      </c>
    </row>
    <row r="1336" spans="1:6" s="570" customFormat="1">
      <c r="A1336" s="633"/>
      <c r="B1336" s="406" t="s">
        <v>679</v>
      </c>
      <c r="C1336" s="636"/>
      <c r="D1336" s="318"/>
      <c r="E1336" s="45"/>
      <c r="F1336" s="302">
        <f t="shared" si="31"/>
        <v>0</v>
      </c>
    </row>
    <row r="1337" spans="1:6" s="570" customFormat="1">
      <c r="A1337" s="633"/>
      <c r="B1337" s="406" t="s">
        <v>765</v>
      </c>
      <c r="C1337" s="539"/>
      <c r="D1337" s="318"/>
      <c r="E1337" s="45"/>
      <c r="F1337" s="302">
        <f t="shared" ref="F1337:F1400" si="32">D1337*E1337</f>
        <v>0</v>
      </c>
    </row>
    <row r="1338" spans="1:6" s="570" customFormat="1" ht="38.25">
      <c r="A1338" s="633"/>
      <c r="B1338" s="406" t="s">
        <v>773</v>
      </c>
      <c r="C1338" s="539" t="s">
        <v>34</v>
      </c>
      <c r="D1338" s="318">
        <v>4</v>
      </c>
      <c r="E1338" s="45"/>
      <c r="F1338" s="302">
        <f t="shared" si="32"/>
        <v>0</v>
      </c>
    </row>
    <row r="1339" spans="1:6" s="570" customFormat="1" ht="38.25">
      <c r="A1339" s="633"/>
      <c r="B1339" s="406" t="s">
        <v>774</v>
      </c>
      <c r="C1339" s="539" t="s">
        <v>34</v>
      </c>
      <c r="D1339" s="318">
        <v>2</v>
      </c>
      <c r="E1339" s="45"/>
      <c r="F1339" s="302">
        <f t="shared" si="32"/>
        <v>0</v>
      </c>
    </row>
    <row r="1340" spans="1:6" s="570" customFormat="1" ht="38.25">
      <c r="A1340" s="633"/>
      <c r="B1340" s="406" t="s">
        <v>775</v>
      </c>
      <c r="C1340" s="539" t="s">
        <v>34</v>
      </c>
      <c r="D1340" s="318">
        <v>1</v>
      </c>
      <c r="E1340" s="45"/>
      <c r="F1340" s="302">
        <f t="shared" si="32"/>
        <v>0</v>
      </c>
    </row>
    <row r="1341" spans="1:6" s="570" customFormat="1" ht="38.25">
      <c r="A1341" s="633"/>
      <c r="B1341" s="406" t="s">
        <v>776</v>
      </c>
      <c r="C1341" s="539" t="s">
        <v>34</v>
      </c>
      <c r="D1341" s="318">
        <v>6</v>
      </c>
      <c r="E1341" s="45"/>
      <c r="F1341" s="302">
        <f t="shared" si="32"/>
        <v>0</v>
      </c>
    </row>
    <row r="1342" spans="1:6" s="570" customFormat="1">
      <c r="A1342" s="633"/>
      <c r="B1342" s="406"/>
      <c r="C1342" s="539"/>
      <c r="D1342" s="318"/>
      <c r="E1342" s="45"/>
      <c r="F1342" s="302">
        <f t="shared" si="32"/>
        <v>0</v>
      </c>
    </row>
    <row r="1343" spans="1:6" s="571" customFormat="1" ht="30">
      <c r="A1343" s="633">
        <v>20</v>
      </c>
      <c r="B1343" s="294" t="s">
        <v>777</v>
      </c>
      <c r="C1343" s="539"/>
      <c r="D1343" s="318"/>
      <c r="E1343" s="352"/>
      <c r="F1343" s="302">
        <f t="shared" si="32"/>
        <v>0</v>
      </c>
    </row>
    <row r="1344" spans="1:6" s="571" customFormat="1" ht="25.5">
      <c r="A1344" s="634"/>
      <c r="B1344" s="406" t="s">
        <v>778</v>
      </c>
      <c r="C1344" s="539"/>
      <c r="D1344" s="318"/>
      <c r="E1344" s="352"/>
      <c r="F1344" s="302">
        <f t="shared" si="32"/>
        <v>0</v>
      </c>
    </row>
    <row r="1345" spans="1:6" s="571" customFormat="1">
      <c r="A1345" s="634"/>
      <c r="B1345" s="406" t="s">
        <v>779</v>
      </c>
      <c r="C1345" s="539"/>
      <c r="D1345" s="318"/>
      <c r="E1345" s="352"/>
      <c r="F1345" s="302">
        <f t="shared" si="32"/>
        <v>0</v>
      </c>
    </row>
    <row r="1346" spans="1:6" s="571" customFormat="1">
      <c r="A1346" s="634"/>
      <c r="B1346" s="406" t="s">
        <v>780</v>
      </c>
      <c r="C1346" s="539"/>
      <c r="D1346" s="318"/>
      <c r="E1346" s="352"/>
      <c r="F1346" s="302">
        <f t="shared" si="32"/>
        <v>0</v>
      </c>
    </row>
    <row r="1347" spans="1:6" s="571" customFormat="1" ht="26.25" customHeight="1">
      <c r="A1347" s="634"/>
      <c r="B1347" s="406" t="s">
        <v>764</v>
      </c>
      <c r="C1347" s="539"/>
      <c r="D1347" s="318"/>
      <c r="E1347" s="352"/>
      <c r="F1347" s="302">
        <f t="shared" si="32"/>
        <v>0</v>
      </c>
    </row>
    <row r="1348" spans="1:6" s="571" customFormat="1" ht="21" customHeight="1">
      <c r="A1348" s="634"/>
      <c r="B1348" s="406" t="s">
        <v>781</v>
      </c>
      <c r="C1348" s="539"/>
      <c r="D1348" s="318"/>
      <c r="E1348" s="352"/>
      <c r="F1348" s="302">
        <f t="shared" si="32"/>
        <v>0</v>
      </c>
    </row>
    <row r="1349" spans="1:6" s="571" customFormat="1" ht="28.5" customHeight="1">
      <c r="A1349" s="634"/>
      <c r="B1349" s="406" t="s">
        <v>970</v>
      </c>
      <c r="C1349" s="539"/>
      <c r="D1349" s="318"/>
      <c r="E1349" s="352"/>
      <c r="F1349" s="302">
        <f t="shared" si="32"/>
        <v>0</v>
      </c>
    </row>
    <row r="1350" spans="1:6" s="570" customFormat="1" ht="102" customHeight="1">
      <c r="A1350" s="633"/>
      <c r="B1350" s="406" t="s">
        <v>908</v>
      </c>
      <c r="C1350" s="539"/>
      <c r="D1350" s="318"/>
      <c r="E1350" s="45"/>
      <c r="F1350" s="302">
        <f t="shared" si="32"/>
        <v>0</v>
      </c>
    </row>
    <row r="1351" spans="1:6" s="571" customFormat="1" ht="51">
      <c r="A1351" s="634"/>
      <c r="B1351" s="406" t="s">
        <v>887</v>
      </c>
      <c r="C1351" s="544"/>
      <c r="D1351" s="316"/>
      <c r="E1351" s="352"/>
      <c r="F1351" s="302">
        <f t="shared" si="32"/>
        <v>0</v>
      </c>
    </row>
    <row r="1352" spans="1:6" s="571" customFormat="1">
      <c r="A1352" s="634"/>
      <c r="B1352" s="406" t="s">
        <v>124</v>
      </c>
      <c r="C1352" s="635"/>
      <c r="D1352" s="316"/>
      <c r="E1352" s="352"/>
      <c r="F1352" s="302">
        <f t="shared" si="32"/>
        <v>0</v>
      </c>
    </row>
    <row r="1353" spans="1:6" s="570" customFormat="1">
      <c r="A1353" s="633"/>
      <c r="B1353" s="406" t="s">
        <v>683</v>
      </c>
      <c r="C1353" s="636"/>
      <c r="D1353" s="318"/>
      <c r="E1353" s="45"/>
      <c r="F1353" s="302">
        <f t="shared" si="32"/>
        <v>0</v>
      </c>
    </row>
    <row r="1354" spans="1:6" s="570" customFormat="1">
      <c r="A1354" s="633"/>
      <c r="B1354" s="406" t="s">
        <v>765</v>
      </c>
      <c r="C1354" s="539"/>
      <c r="D1354" s="318"/>
      <c r="E1354" s="45"/>
      <c r="F1354" s="302">
        <f t="shared" si="32"/>
        <v>0</v>
      </c>
    </row>
    <row r="1355" spans="1:6" s="570" customFormat="1" ht="38.25">
      <c r="A1355" s="633"/>
      <c r="B1355" s="406" t="s">
        <v>782</v>
      </c>
      <c r="C1355" s="539" t="s">
        <v>34</v>
      </c>
      <c r="D1355" s="318">
        <v>1</v>
      </c>
      <c r="E1355" s="45"/>
      <c r="F1355" s="302">
        <f t="shared" si="32"/>
        <v>0</v>
      </c>
    </row>
    <row r="1356" spans="1:6" s="570" customFormat="1" ht="38.25">
      <c r="A1356" s="633"/>
      <c r="B1356" s="406" t="s">
        <v>783</v>
      </c>
      <c r="C1356" s="539" t="s">
        <v>34</v>
      </c>
      <c r="D1356" s="318">
        <v>2</v>
      </c>
      <c r="E1356" s="45"/>
      <c r="F1356" s="302">
        <f t="shared" si="32"/>
        <v>0</v>
      </c>
    </row>
    <row r="1357" spans="1:6" s="570" customFormat="1" ht="38.25">
      <c r="A1357" s="633"/>
      <c r="B1357" s="406" t="s">
        <v>799</v>
      </c>
      <c r="C1357" s="539" t="s">
        <v>34</v>
      </c>
      <c r="D1357" s="318">
        <v>3</v>
      </c>
      <c r="E1357" s="45"/>
      <c r="F1357" s="302">
        <f t="shared" si="32"/>
        <v>0</v>
      </c>
    </row>
    <row r="1358" spans="1:6" s="570" customFormat="1" ht="38.25">
      <c r="A1358" s="633"/>
      <c r="B1358" s="406" t="s">
        <v>784</v>
      </c>
      <c r="C1358" s="539" t="s">
        <v>34</v>
      </c>
      <c r="D1358" s="318">
        <v>1</v>
      </c>
      <c r="E1358" s="45"/>
      <c r="F1358" s="302">
        <f t="shared" si="32"/>
        <v>0</v>
      </c>
    </row>
    <row r="1359" spans="1:6" s="570" customFormat="1">
      <c r="A1359" s="633"/>
      <c r="B1359" s="406"/>
      <c r="C1359" s="539"/>
      <c r="D1359" s="318"/>
      <c r="E1359" s="45"/>
      <c r="F1359" s="302">
        <f t="shared" si="32"/>
        <v>0</v>
      </c>
    </row>
    <row r="1360" spans="1:6" s="571" customFormat="1" ht="45">
      <c r="A1360" s="633">
        <v>21</v>
      </c>
      <c r="B1360" s="294" t="s">
        <v>787</v>
      </c>
      <c r="C1360" s="539"/>
      <c r="D1360" s="318"/>
      <c r="E1360" s="352"/>
      <c r="F1360" s="302">
        <f t="shared" si="32"/>
        <v>0</v>
      </c>
    </row>
    <row r="1361" spans="1:6" s="571" customFormat="1" ht="25.5">
      <c r="A1361" s="634"/>
      <c r="B1361" s="406" t="s">
        <v>788</v>
      </c>
      <c r="C1361" s="539"/>
      <c r="D1361" s="318"/>
      <c r="E1361" s="352"/>
      <c r="F1361" s="302">
        <f t="shared" si="32"/>
        <v>0</v>
      </c>
    </row>
    <row r="1362" spans="1:6" s="571" customFormat="1">
      <c r="A1362" s="634"/>
      <c r="B1362" s="406" t="s">
        <v>779</v>
      </c>
      <c r="C1362" s="539"/>
      <c r="D1362" s="318"/>
      <c r="E1362" s="352"/>
      <c r="F1362" s="302">
        <f t="shared" si="32"/>
        <v>0</v>
      </c>
    </row>
    <row r="1363" spans="1:6" s="571" customFormat="1">
      <c r="A1363" s="634"/>
      <c r="B1363" s="406" t="s">
        <v>780</v>
      </c>
      <c r="C1363" s="539"/>
      <c r="D1363" s="318"/>
      <c r="E1363" s="352"/>
      <c r="F1363" s="302">
        <f t="shared" si="32"/>
        <v>0</v>
      </c>
    </row>
    <row r="1364" spans="1:6" s="571" customFormat="1">
      <c r="A1364" s="634"/>
      <c r="B1364" s="406" t="s">
        <v>789</v>
      </c>
      <c r="C1364" s="539"/>
      <c r="D1364" s="318"/>
      <c r="E1364" s="352"/>
      <c r="F1364" s="302">
        <f t="shared" si="32"/>
        <v>0</v>
      </c>
    </row>
    <row r="1365" spans="1:6" s="571" customFormat="1" ht="21" customHeight="1">
      <c r="A1365" s="634"/>
      <c r="B1365" s="406" t="s">
        <v>764</v>
      </c>
      <c r="C1365" s="539"/>
      <c r="D1365" s="318"/>
      <c r="E1365" s="352"/>
      <c r="F1365" s="302">
        <f t="shared" si="32"/>
        <v>0</v>
      </c>
    </row>
    <row r="1366" spans="1:6" s="571" customFormat="1" ht="21" customHeight="1">
      <c r="A1366" s="634"/>
      <c r="B1366" s="406" t="s">
        <v>781</v>
      </c>
      <c r="C1366" s="539"/>
      <c r="D1366" s="318"/>
      <c r="E1366" s="352"/>
      <c r="F1366" s="302">
        <f t="shared" si="32"/>
        <v>0</v>
      </c>
    </row>
    <row r="1367" spans="1:6" s="571" customFormat="1">
      <c r="A1367" s="634"/>
      <c r="B1367" s="406" t="s">
        <v>790</v>
      </c>
      <c r="C1367" s="539"/>
      <c r="D1367" s="318"/>
      <c r="E1367" s="352"/>
      <c r="F1367" s="302">
        <f t="shared" si="32"/>
        <v>0</v>
      </c>
    </row>
    <row r="1368" spans="1:6" s="570" customFormat="1" ht="102">
      <c r="A1368" s="633"/>
      <c r="B1368" s="406" t="s">
        <v>908</v>
      </c>
      <c r="C1368" s="539"/>
      <c r="D1368" s="318"/>
      <c r="E1368" s="45"/>
      <c r="F1368" s="302">
        <f t="shared" si="32"/>
        <v>0</v>
      </c>
    </row>
    <row r="1369" spans="1:6" s="571" customFormat="1" ht="51">
      <c r="A1369" s="634"/>
      <c r="B1369" s="406" t="s">
        <v>887</v>
      </c>
      <c r="C1369" s="544"/>
      <c r="D1369" s="316"/>
      <c r="E1369" s="352"/>
      <c r="F1369" s="302">
        <f t="shared" si="32"/>
        <v>0</v>
      </c>
    </row>
    <row r="1370" spans="1:6" s="571" customFormat="1">
      <c r="A1370" s="634"/>
      <c r="B1370" s="406" t="s">
        <v>124</v>
      </c>
      <c r="C1370" s="635"/>
      <c r="D1370" s="316"/>
      <c r="E1370" s="352"/>
      <c r="F1370" s="302">
        <f t="shared" si="32"/>
        <v>0</v>
      </c>
    </row>
    <row r="1371" spans="1:6" s="570" customFormat="1">
      <c r="A1371" s="633"/>
      <c r="B1371" s="406" t="s">
        <v>688</v>
      </c>
      <c r="C1371" s="636"/>
      <c r="D1371" s="318"/>
      <c r="E1371" s="45"/>
      <c r="F1371" s="302">
        <f t="shared" si="32"/>
        <v>0</v>
      </c>
    </row>
    <row r="1372" spans="1:6" s="570" customFormat="1">
      <c r="A1372" s="633"/>
      <c r="B1372" s="406" t="s">
        <v>765</v>
      </c>
      <c r="C1372" s="539"/>
      <c r="D1372" s="318"/>
      <c r="E1372" s="45"/>
      <c r="F1372" s="302">
        <f t="shared" si="32"/>
        <v>0</v>
      </c>
    </row>
    <row r="1373" spans="1:6" s="570" customFormat="1" ht="38.25">
      <c r="A1373" s="633"/>
      <c r="B1373" s="406" t="s">
        <v>791</v>
      </c>
      <c r="C1373" s="539" t="s">
        <v>34</v>
      </c>
      <c r="D1373" s="318">
        <v>1</v>
      </c>
      <c r="E1373" s="45"/>
      <c r="F1373" s="302">
        <f t="shared" si="32"/>
        <v>0</v>
      </c>
    </row>
    <row r="1374" spans="1:6" s="570" customFormat="1" ht="38.25">
      <c r="A1374" s="633"/>
      <c r="B1374" s="406" t="s">
        <v>792</v>
      </c>
      <c r="C1374" s="539" t="s">
        <v>34</v>
      </c>
      <c r="D1374" s="318">
        <v>2</v>
      </c>
      <c r="E1374" s="45"/>
      <c r="F1374" s="302">
        <f t="shared" si="32"/>
        <v>0</v>
      </c>
    </row>
    <row r="1375" spans="1:6" s="570" customFormat="1" ht="38.25">
      <c r="A1375" s="633"/>
      <c r="B1375" s="406" t="s">
        <v>793</v>
      </c>
      <c r="C1375" s="539" t="s">
        <v>34</v>
      </c>
      <c r="D1375" s="318">
        <v>1</v>
      </c>
      <c r="E1375" s="45"/>
      <c r="F1375" s="302">
        <f t="shared" si="32"/>
        <v>0</v>
      </c>
    </row>
    <row r="1376" spans="1:6" s="570" customFormat="1">
      <c r="A1376" s="633"/>
      <c r="B1376" s="406"/>
      <c r="C1376" s="539"/>
      <c r="D1376" s="318"/>
      <c r="E1376" s="45"/>
      <c r="F1376" s="302">
        <f t="shared" si="32"/>
        <v>0</v>
      </c>
    </row>
    <row r="1377" spans="1:6" s="571" customFormat="1" ht="30">
      <c r="A1377" s="633">
        <v>22</v>
      </c>
      <c r="B1377" s="294" t="s">
        <v>794</v>
      </c>
      <c r="C1377" s="539"/>
      <c r="D1377" s="318"/>
      <c r="E1377" s="352"/>
      <c r="F1377" s="302">
        <f t="shared" si="32"/>
        <v>0</v>
      </c>
    </row>
    <row r="1378" spans="1:6" s="571" customFormat="1" ht="25.5">
      <c r="A1378" s="634"/>
      <c r="B1378" s="406" t="s">
        <v>795</v>
      </c>
      <c r="C1378" s="539"/>
      <c r="D1378" s="318"/>
      <c r="E1378" s="352"/>
      <c r="F1378" s="302">
        <f t="shared" si="32"/>
        <v>0</v>
      </c>
    </row>
    <row r="1379" spans="1:6" s="571" customFormat="1" ht="25.5">
      <c r="A1379" s="634"/>
      <c r="B1379" s="406" t="s">
        <v>796</v>
      </c>
      <c r="C1379" s="539"/>
      <c r="D1379" s="318"/>
      <c r="E1379" s="352"/>
      <c r="F1379" s="302">
        <f t="shared" si="32"/>
        <v>0</v>
      </c>
    </row>
    <row r="1380" spans="1:6" s="571" customFormat="1">
      <c r="A1380" s="634"/>
      <c r="B1380" s="406" t="s">
        <v>780</v>
      </c>
      <c r="C1380" s="539"/>
      <c r="D1380" s="318"/>
      <c r="E1380" s="352"/>
      <c r="F1380" s="302">
        <f t="shared" si="32"/>
        <v>0</v>
      </c>
    </row>
    <row r="1381" spans="1:6" s="571" customFormat="1" ht="21" customHeight="1">
      <c r="A1381" s="634"/>
      <c r="B1381" s="406" t="s">
        <v>797</v>
      </c>
      <c r="C1381" s="539"/>
      <c r="D1381" s="318"/>
      <c r="E1381" s="352"/>
      <c r="F1381" s="302">
        <f t="shared" si="32"/>
        <v>0</v>
      </c>
    </row>
    <row r="1382" spans="1:6" s="571" customFormat="1" ht="21" customHeight="1">
      <c r="A1382" s="634"/>
      <c r="B1382" s="406" t="s">
        <v>798</v>
      </c>
      <c r="C1382" s="539"/>
      <c r="D1382" s="318"/>
      <c r="E1382" s="352"/>
      <c r="F1382" s="302">
        <f t="shared" si="32"/>
        <v>0</v>
      </c>
    </row>
    <row r="1383" spans="1:6" s="570" customFormat="1" ht="102">
      <c r="A1383" s="633"/>
      <c r="B1383" s="406" t="s">
        <v>908</v>
      </c>
      <c r="C1383" s="539"/>
      <c r="D1383" s="318"/>
      <c r="E1383" s="45"/>
      <c r="F1383" s="302">
        <f t="shared" si="32"/>
        <v>0</v>
      </c>
    </row>
    <row r="1384" spans="1:6" s="571" customFormat="1" ht="51">
      <c r="A1384" s="634"/>
      <c r="B1384" s="406" t="s">
        <v>887</v>
      </c>
      <c r="C1384" s="544"/>
      <c r="D1384" s="316"/>
      <c r="E1384" s="352"/>
      <c r="F1384" s="302">
        <f t="shared" si="32"/>
        <v>0</v>
      </c>
    </row>
    <row r="1385" spans="1:6" s="571" customFormat="1">
      <c r="A1385" s="634"/>
      <c r="B1385" s="406" t="s">
        <v>124</v>
      </c>
      <c r="C1385" s="635"/>
      <c r="D1385" s="316"/>
      <c r="E1385" s="352"/>
      <c r="F1385" s="302">
        <f t="shared" si="32"/>
        <v>0</v>
      </c>
    </row>
    <row r="1386" spans="1:6" s="570" customFormat="1">
      <c r="A1386" s="633"/>
      <c r="B1386" s="406" t="s">
        <v>691</v>
      </c>
      <c r="C1386" s="636"/>
      <c r="D1386" s="318"/>
      <c r="E1386" s="45"/>
      <c r="F1386" s="302">
        <f t="shared" si="32"/>
        <v>0</v>
      </c>
    </row>
    <row r="1387" spans="1:6" s="570" customFormat="1">
      <c r="A1387" s="633"/>
      <c r="B1387" s="406" t="s">
        <v>765</v>
      </c>
      <c r="C1387" s="539"/>
      <c r="D1387" s="318"/>
      <c r="E1387" s="45"/>
      <c r="F1387" s="302">
        <f t="shared" si="32"/>
        <v>0</v>
      </c>
    </row>
    <row r="1388" spans="1:6" s="570" customFormat="1" ht="26.25" customHeight="1">
      <c r="A1388" s="633"/>
      <c r="B1388" s="406" t="s">
        <v>5525</v>
      </c>
      <c r="C1388" s="539" t="s">
        <v>34</v>
      </c>
      <c r="D1388" s="318">
        <v>8</v>
      </c>
      <c r="E1388" s="45"/>
      <c r="F1388" s="302">
        <f t="shared" si="32"/>
        <v>0</v>
      </c>
    </row>
    <row r="1389" spans="1:6" s="570" customFormat="1">
      <c r="A1389" s="633"/>
      <c r="B1389" s="406"/>
      <c r="C1389" s="539"/>
      <c r="D1389" s="318"/>
      <c r="E1389" s="45"/>
      <c r="F1389" s="302">
        <f t="shared" si="32"/>
        <v>0</v>
      </c>
    </row>
    <row r="1390" spans="1:6" s="571" customFormat="1" ht="30">
      <c r="A1390" s="633">
        <v>23</v>
      </c>
      <c r="B1390" s="294" t="s">
        <v>800</v>
      </c>
      <c r="C1390" s="539"/>
      <c r="D1390" s="318"/>
      <c r="E1390" s="352"/>
      <c r="F1390" s="302">
        <f t="shared" si="32"/>
        <v>0</v>
      </c>
    </row>
    <row r="1391" spans="1:6" s="571" customFormat="1" ht="25.5">
      <c r="A1391" s="634"/>
      <c r="B1391" s="406" t="s">
        <v>801</v>
      </c>
      <c r="C1391" s="539"/>
      <c r="D1391" s="318"/>
      <c r="E1391" s="352"/>
      <c r="F1391" s="302">
        <f t="shared" si="32"/>
        <v>0</v>
      </c>
    </row>
    <row r="1392" spans="1:6" s="571" customFormat="1" ht="25.5">
      <c r="A1392" s="634"/>
      <c r="B1392" s="406" t="s">
        <v>796</v>
      </c>
      <c r="C1392" s="539"/>
      <c r="D1392" s="318"/>
      <c r="E1392" s="352"/>
      <c r="F1392" s="302">
        <f t="shared" si="32"/>
        <v>0</v>
      </c>
    </row>
    <row r="1393" spans="1:6" s="571" customFormat="1">
      <c r="A1393" s="634"/>
      <c r="B1393" s="406" t="s">
        <v>780</v>
      </c>
      <c r="C1393" s="539"/>
      <c r="D1393" s="318"/>
      <c r="E1393" s="352"/>
      <c r="F1393" s="302">
        <f t="shared" si="32"/>
        <v>0</v>
      </c>
    </row>
    <row r="1394" spans="1:6" s="571" customFormat="1" ht="21" customHeight="1">
      <c r="A1394" s="634"/>
      <c r="B1394" s="406" t="s">
        <v>802</v>
      </c>
      <c r="C1394" s="539"/>
      <c r="D1394" s="318"/>
      <c r="E1394" s="352"/>
      <c r="F1394" s="302">
        <f t="shared" si="32"/>
        <v>0</v>
      </c>
    </row>
    <row r="1395" spans="1:6" s="571" customFormat="1" ht="27.75" customHeight="1">
      <c r="A1395" s="634"/>
      <c r="B1395" s="406" t="s">
        <v>803</v>
      </c>
      <c r="C1395" s="539"/>
      <c r="D1395" s="318"/>
      <c r="E1395" s="352"/>
      <c r="F1395" s="302">
        <f t="shared" si="32"/>
        <v>0</v>
      </c>
    </row>
    <row r="1396" spans="1:6" s="570" customFormat="1" ht="102">
      <c r="A1396" s="633"/>
      <c r="B1396" s="406" t="s">
        <v>908</v>
      </c>
      <c r="C1396" s="539"/>
      <c r="D1396" s="318"/>
      <c r="E1396" s="45"/>
      <c r="F1396" s="302">
        <f t="shared" si="32"/>
        <v>0</v>
      </c>
    </row>
    <row r="1397" spans="1:6" s="571" customFormat="1" ht="51">
      <c r="A1397" s="634"/>
      <c r="B1397" s="406" t="s">
        <v>887</v>
      </c>
      <c r="C1397" s="544"/>
      <c r="D1397" s="316"/>
      <c r="E1397" s="352"/>
      <c r="F1397" s="302">
        <f t="shared" si="32"/>
        <v>0</v>
      </c>
    </row>
    <row r="1398" spans="1:6" s="571" customFormat="1">
      <c r="A1398" s="634"/>
      <c r="B1398" s="406" t="s">
        <v>124</v>
      </c>
      <c r="C1398" s="635"/>
      <c r="D1398" s="316"/>
      <c r="E1398" s="352"/>
      <c r="F1398" s="302">
        <f t="shared" si="32"/>
        <v>0</v>
      </c>
    </row>
    <row r="1399" spans="1:6" s="570" customFormat="1">
      <c r="A1399" s="633"/>
      <c r="B1399" s="406" t="s">
        <v>695</v>
      </c>
      <c r="C1399" s="636"/>
      <c r="D1399" s="318"/>
      <c r="E1399" s="45"/>
      <c r="F1399" s="302">
        <f t="shared" si="32"/>
        <v>0</v>
      </c>
    </row>
    <row r="1400" spans="1:6" s="570" customFormat="1">
      <c r="A1400" s="633"/>
      <c r="B1400" s="406" t="s">
        <v>765</v>
      </c>
      <c r="C1400" s="539"/>
      <c r="D1400" s="318"/>
      <c r="E1400" s="45"/>
      <c r="F1400" s="302">
        <f t="shared" si="32"/>
        <v>0</v>
      </c>
    </row>
    <row r="1401" spans="1:6" s="570" customFormat="1" ht="29.25" customHeight="1">
      <c r="A1401" s="633"/>
      <c r="B1401" s="406" t="s">
        <v>805</v>
      </c>
      <c r="C1401" s="539" t="s">
        <v>34</v>
      </c>
      <c r="D1401" s="318">
        <v>1</v>
      </c>
      <c r="E1401" s="45"/>
      <c r="F1401" s="302">
        <f t="shared" ref="F1401:F1464" si="33">D1401*E1401</f>
        <v>0</v>
      </c>
    </row>
    <row r="1402" spans="1:6" s="570" customFormat="1">
      <c r="A1402" s="633"/>
      <c r="B1402" s="406"/>
      <c r="C1402" s="539"/>
      <c r="D1402" s="318"/>
      <c r="E1402" s="45"/>
      <c r="F1402" s="302">
        <f t="shared" si="33"/>
        <v>0</v>
      </c>
    </row>
    <row r="1403" spans="1:6" s="571" customFormat="1" ht="45">
      <c r="A1403" s="633">
        <v>24</v>
      </c>
      <c r="B1403" s="294" t="s">
        <v>806</v>
      </c>
      <c r="C1403" s="539"/>
      <c r="D1403" s="318"/>
      <c r="E1403" s="352"/>
      <c r="F1403" s="302">
        <f t="shared" si="33"/>
        <v>0</v>
      </c>
    </row>
    <row r="1404" spans="1:6" s="571" customFormat="1" ht="25.5">
      <c r="A1404" s="634"/>
      <c r="B1404" s="406" t="s">
        <v>807</v>
      </c>
      <c r="C1404" s="539"/>
      <c r="D1404" s="318"/>
      <c r="E1404" s="352"/>
      <c r="F1404" s="302">
        <f t="shared" si="33"/>
        <v>0</v>
      </c>
    </row>
    <row r="1405" spans="1:6" s="571" customFormat="1">
      <c r="A1405" s="634"/>
      <c r="B1405" s="406" t="s">
        <v>808</v>
      </c>
      <c r="C1405" s="539"/>
      <c r="D1405" s="318"/>
      <c r="E1405" s="352"/>
      <c r="F1405" s="302">
        <f t="shared" si="33"/>
        <v>0</v>
      </c>
    </row>
    <row r="1406" spans="1:6" s="571" customFormat="1">
      <c r="A1406" s="634"/>
      <c r="B1406" s="406" t="s">
        <v>809</v>
      </c>
      <c r="C1406" s="539"/>
      <c r="D1406" s="318"/>
      <c r="E1406" s="352"/>
      <c r="F1406" s="302">
        <f t="shared" si="33"/>
        <v>0</v>
      </c>
    </row>
    <row r="1407" spans="1:6" s="571" customFormat="1" ht="21" customHeight="1">
      <c r="A1407" s="634"/>
      <c r="B1407" s="406" t="s">
        <v>810</v>
      </c>
      <c r="C1407" s="539"/>
      <c r="D1407" s="318"/>
      <c r="E1407" s="352"/>
      <c r="F1407" s="302">
        <f t="shared" si="33"/>
        <v>0</v>
      </c>
    </row>
    <row r="1408" spans="1:6" s="571" customFormat="1" ht="38.25">
      <c r="A1408" s="634"/>
      <c r="B1408" s="406" t="s">
        <v>811</v>
      </c>
      <c r="C1408" s="539"/>
      <c r="D1408" s="318"/>
      <c r="E1408" s="352"/>
      <c r="F1408" s="302">
        <f t="shared" si="33"/>
        <v>0</v>
      </c>
    </row>
    <row r="1409" spans="1:6" s="570" customFormat="1" ht="102">
      <c r="A1409" s="633"/>
      <c r="B1409" s="406" t="s">
        <v>908</v>
      </c>
      <c r="C1409" s="539"/>
      <c r="D1409" s="318"/>
      <c r="E1409" s="45"/>
      <c r="F1409" s="302">
        <f t="shared" si="33"/>
        <v>0</v>
      </c>
    </row>
    <row r="1410" spans="1:6" s="571" customFormat="1" ht="51">
      <c r="A1410" s="634"/>
      <c r="B1410" s="406" t="s">
        <v>887</v>
      </c>
      <c r="C1410" s="544"/>
      <c r="D1410" s="316"/>
      <c r="E1410" s="352"/>
      <c r="F1410" s="302">
        <f t="shared" si="33"/>
        <v>0</v>
      </c>
    </row>
    <row r="1411" spans="1:6" s="571" customFormat="1">
      <c r="A1411" s="634"/>
      <c r="B1411" s="406" t="s">
        <v>124</v>
      </c>
      <c r="C1411" s="635"/>
      <c r="D1411" s="316"/>
      <c r="E1411" s="352"/>
      <c r="F1411" s="302">
        <f t="shared" si="33"/>
        <v>0</v>
      </c>
    </row>
    <row r="1412" spans="1:6" s="570" customFormat="1">
      <c r="A1412" s="633"/>
      <c r="B1412" s="406" t="s">
        <v>698</v>
      </c>
      <c r="C1412" s="636"/>
      <c r="D1412" s="318"/>
      <c r="E1412" s="45"/>
      <c r="F1412" s="302">
        <f t="shared" si="33"/>
        <v>0</v>
      </c>
    </row>
    <row r="1413" spans="1:6" s="570" customFormat="1">
      <c r="A1413" s="633"/>
      <c r="B1413" s="406" t="s">
        <v>765</v>
      </c>
      <c r="C1413" s="539"/>
      <c r="D1413" s="318"/>
      <c r="E1413" s="45"/>
      <c r="F1413" s="302">
        <f t="shared" si="33"/>
        <v>0</v>
      </c>
    </row>
    <row r="1414" spans="1:6" s="570" customFormat="1" ht="27" customHeight="1">
      <c r="A1414" s="633"/>
      <c r="B1414" s="406" t="s">
        <v>812</v>
      </c>
      <c r="C1414" s="539" t="s">
        <v>34</v>
      </c>
      <c r="D1414" s="318">
        <v>1</v>
      </c>
      <c r="E1414" s="45"/>
      <c r="F1414" s="302">
        <f t="shared" si="33"/>
        <v>0</v>
      </c>
    </row>
    <row r="1415" spans="1:6" s="570" customFormat="1">
      <c r="A1415" s="633"/>
      <c r="B1415" s="406"/>
      <c r="C1415" s="539"/>
      <c r="D1415" s="318"/>
      <c r="E1415" s="45"/>
      <c r="F1415" s="302">
        <f t="shared" si="33"/>
        <v>0</v>
      </c>
    </row>
    <row r="1416" spans="1:6" s="571" customFormat="1" ht="30">
      <c r="A1416" s="633">
        <v>25</v>
      </c>
      <c r="B1416" s="294" t="s">
        <v>864</v>
      </c>
      <c r="C1416" s="539"/>
      <c r="D1416" s="318"/>
      <c r="E1416" s="352"/>
      <c r="F1416" s="302">
        <f t="shared" si="33"/>
        <v>0</v>
      </c>
    </row>
    <row r="1417" spans="1:6" s="571" customFormat="1" ht="25.5">
      <c r="A1417" s="634"/>
      <c r="B1417" s="406" t="s">
        <v>2133</v>
      </c>
      <c r="C1417" s="539"/>
      <c r="D1417" s="318"/>
      <c r="E1417" s="352"/>
      <c r="F1417" s="302">
        <f t="shared" si="33"/>
        <v>0</v>
      </c>
    </row>
    <row r="1418" spans="1:6" s="571" customFormat="1" ht="25.5">
      <c r="A1418" s="634"/>
      <c r="B1418" s="406" t="s">
        <v>865</v>
      </c>
      <c r="C1418" s="539"/>
      <c r="D1418" s="318"/>
      <c r="E1418" s="352"/>
      <c r="F1418" s="302">
        <f t="shared" si="33"/>
        <v>0</v>
      </c>
    </row>
    <row r="1419" spans="1:6" s="571" customFormat="1" ht="38.25">
      <c r="A1419" s="634"/>
      <c r="B1419" s="406" t="s">
        <v>866</v>
      </c>
      <c r="C1419" s="539"/>
      <c r="D1419" s="318"/>
      <c r="E1419" s="352"/>
      <c r="F1419" s="302">
        <f t="shared" si="33"/>
        <v>0</v>
      </c>
    </row>
    <row r="1420" spans="1:6" s="571" customFormat="1">
      <c r="A1420" s="634"/>
      <c r="B1420" s="406" t="s">
        <v>867</v>
      </c>
      <c r="C1420" s="539"/>
      <c r="D1420" s="318"/>
      <c r="E1420" s="352"/>
      <c r="F1420" s="302">
        <f t="shared" si="33"/>
        <v>0</v>
      </c>
    </row>
    <row r="1421" spans="1:6" s="571" customFormat="1" ht="27" customHeight="1">
      <c r="A1421" s="634"/>
      <c r="B1421" s="406" t="s">
        <v>868</v>
      </c>
      <c r="C1421" s="539"/>
      <c r="D1421" s="318"/>
      <c r="E1421" s="352"/>
      <c r="F1421" s="302">
        <f t="shared" si="33"/>
        <v>0</v>
      </c>
    </row>
    <row r="1422" spans="1:6" s="571" customFormat="1" ht="76.5">
      <c r="A1422" s="634"/>
      <c r="B1422" s="406" t="s">
        <v>869</v>
      </c>
      <c r="C1422" s="539"/>
      <c r="D1422" s="318"/>
      <c r="E1422" s="352"/>
      <c r="F1422" s="302">
        <f t="shared" si="33"/>
        <v>0</v>
      </c>
    </row>
    <row r="1423" spans="1:6" s="570" customFormat="1" ht="102">
      <c r="A1423" s="633"/>
      <c r="B1423" s="406" t="s">
        <v>908</v>
      </c>
      <c r="C1423" s="539"/>
      <c r="D1423" s="318"/>
      <c r="E1423" s="45"/>
      <c r="F1423" s="302">
        <f t="shared" si="33"/>
        <v>0</v>
      </c>
    </row>
    <row r="1424" spans="1:6" s="571" customFormat="1" ht="51">
      <c r="A1424" s="634"/>
      <c r="B1424" s="406" t="s">
        <v>887</v>
      </c>
      <c r="C1424" s="544"/>
      <c r="D1424" s="316"/>
      <c r="E1424" s="352"/>
      <c r="F1424" s="302">
        <f t="shared" si="33"/>
        <v>0</v>
      </c>
    </row>
    <row r="1425" spans="1:6" s="571" customFormat="1">
      <c r="A1425" s="634"/>
      <c r="B1425" s="406" t="s">
        <v>124</v>
      </c>
      <c r="C1425" s="635"/>
      <c r="D1425" s="316"/>
      <c r="E1425" s="352"/>
      <c r="F1425" s="302">
        <f t="shared" si="33"/>
        <v>0</v>
      </c>
    </row>
    <row r="1426" spans="1:6" s="570" customFormat="1">
      <c r="A1426" s="633"/>
      <c r="B1426" s="406" t="s">
        <v>870</v>
      </c>
      <c r="C1426" s="636"/>
      <c r="D1426" s="318"/>
      <c r="E1426" s="45"/>
      <c r="F1426" s="302">
        <f t="shared" si="33"/>
        <v>0</v>
      </c>
    </row>
    <row r="1427" spans="1:6" s="570" customFormat="1">
      <c r="A1427" s="633"/>
      <c r="B1427" s="406" t="s">
        <v>765</v>
      </c>
      <c r="C1427" s="539"/>
      <c r="D1427" s="318"/>
      <c r="E1427" s="45"/>
      <c r="F1427" s="302">
        <f t="shared" si="33"/>
        <v>0</v>
      </c>
    </row>
    <row r="1428" spans="1:6" s="570" customFormat="1" ht="27.75" customHeight="1">
      <c r="A1428" s="633"/>
      <c r="B1428" s="406" t="s">
        <v>871</v>
      </c>
      <c r="C1428" s="539" t="s">
        <v>34</v>
      </c>
      <c r="D1428" s="318">
        <v>3</v>
      </c>
      <c r="E1428" s="45"/>
      <c r="F1428" s="302">
        <f t="shared" si="33"/>
        <v>0</v>
      </c>
    </row>
    <row r="1429" spans="1:6" s="570" customFormat="1" ht="27.75" customHeight="1">
      <c r="A1429" s="633"/>
      <c r="B1429" s="406" t="s">
        <v>872</v>
      </c>
      <c r="C1429" s="539" t="s">
        <v>34</v>
      </c>
      <c r="D1429" s="318">
        <v>14</v>
      </c>
      <c r="E1429" s="45"/>
      <c r="F1429" s="302">
        <f t="shared" si="33"/>
        <v>0</v>
      </c>
    </row>
    <row r="1430" spans="1:6" s="570" customFormat="1">
      <c r="A1430" s="633"/>
      <c r="B1430" s="406"/>
      <c r="C1430" s="539"/>
      <c r="D1430" s="318"/>
      <c r="E1430" s="45"/>
      <c r="F1430" s="302">
        <f t="shared" si="33"/>
        <v>0</v>
      </c>
    </row>
    <row r="1431" spans="1:6" s="571" customFormat="1" ht="30">
      <c r="A1431" s="633">
        <v>26</v>
      </c>
      <c r="B1431" s="294" t="s">
        <v>873</v>
      </c>
      <c r="C1431" s="539"/>
      <c r="D1431" s="318"/>
      <c r="E1431" s="352"/>
      <c r="F1431" s="302">
        <f t="shared" si="33"/>
        <v>0</v>
      </c>
    </row>
    <row r="1432" spans="1:6" s="571" customFormat="1" ht="25.5">
      <c r="A1432" s="634"/>
      <c r="B1432" s="406" t="s">
        <v>2134</v>
      </c>
      <c r="C1432" s="539"/>
      <c r="D1432" s="318"/>
      <c r="E1432" s="352"/>
      <c r="F1432" s="302">
        <f t="shared" si="33"/>
        <v>0</v>
      </c>
    </row>
    <row r="1433" spans="1:6" s="571" customFormat="1" ht="25.5">
      <c r="A1433" s="634"/>
      <c r="B1433" s="406" t="s">
        <v>865</v>
      </c>
      <c r="C1433" s="539"/>
      <c r="D1433" s="318"/>
      <c r="E1433" s="352"/>
      <c r="F1433" s="302">
        <f t="shared" si="33"/>
        <v>0</v>
      </c>
    </row>
    <row r="1434" spans="1:6" s="571" customFormat="1" ht="38.25">
      <c r="A1434" s="634"/>
      <c r="B1434" s="406" t="s">
        <v>866</v>
      </c>
      <c r="C1434" s="539"/>
      <c r="D1434" s="318"/>
      <c r="E1434" s="352"/>
      <c r="F1434" s="302">
        <f t="shared" si="33"/>
        <v>0</v>
      </c>
    </row>
    <row r="1435" spans="1:6" s="571" customFormat="1">
      <c r="A1435" s="634"/>
      <c r="B1435" s="406" t="s">
        <v>867</v>
      </c>
      <c r="C1435" s="539"/>
      <c r="D1435" s="318"/>
      <c r="E1435" s="352"/>
      <c r="F1435" s="302">
        <f t="shared" si="33"/>
        <v>0</v>
      </c>
    </row>
    <row r="1436" spans="1:6" s="571" customFormat="1" ht="27" customHeight="1">
      <c r="A1436" s="634"/>
      <c r="B1436" s="406" t="s">
        <v>874</v>
      </c>
      <c r="C1436" s="539"/>
      <c r="D1436" s="318"/>
      <c r="E1436" s="352"/>
      <c r="F1436" s="302">
        <f t="shared" si="33"/>
        <v>0</v>
      </c>
    </row>
    <row r="1437" spans="1:6" s="571" customFormat="1" ht="89.25">
      <c r="A1437" s="634"/>
      <c r="B1437" s="406" t="s">
        <v>875</v>
      </c>
      <c r="C1437" s="539"/>
      <c r="D1437" s="318"/>
      <c r="E1437" s="352"/>
      <c r="F1437" s="302">
        <f t="shared" si="33"/>
        <v>0</v>
      </c>
    </row>
    <row r="1438" spans="1:6" s="570" customFormat="1" ht="102">
      <c r="A1438" s="633"/>
      <c r="B1438" s="406" t="s">
        <v>908</v>
      </c>
      <c r="C1438" s="539"/>
      <c r="D1438" s="318"/>
      <c r="E1438" s="45"/>
      <c r="F1438" s="302">
        <f t="shared" si="33"/>
        <v>0</v>
      </c>
    </row>
    <row r="1439" spans="1:6" s="571" customFormat="1" ht="51">
      <c r="A1439" s="634"/>
      <c r="B1439" s="406" t="s">
        <v>887</v>
      </c>
      <c r="C1439" s="544"/>
      <c r="D1439" s="316"/>
      <c r="E1439" s="352"/>
      <c r="F1439" s="302">
        <f t="shared" si="33"/>
        <v>0</v>
      </c>
    </row>
    <row r="1440" spans="1:6" s="571" customFormat="1">
      <c r="A1440" s="634"/>
      <c r="B1440" s="406" t="s">
        <v>124</v>
      </c>
      <c r="C1440" s="635"/>
      <c r="D1440" s="316"/>
      <c r="E1440" s="352"/>
      <c r="F1440" s="302">
        <f t="shared" si="33"/>
        <v>0</v>
      </c>
    </row>
    <row r="1441" spans="1:6" s="570" customFormat="1">
      <c r="A1441" s="633"/>
      <c r="B1441" s="406" t="s">
        <v>876</v>
      </c>
      <c r="C1441" s="636"/>
      <c r="D1441" s="318"/>
      <c r="E1441" s="45"/>
      <c r="F1441" s="302">
        <f t="shared" si="33"/>
        <v>0</v>
      </c>
    </row>
    <row r="1442" spans="1:6" s="570" customFormat="1">
      <c r="A1442" s="633"/>
      <c r="B1442" s="406" t="s">
        <v>765</v>
      </c>
      <c r="C1442" s="539"/>
      <c r="D1442" s="318"/>
      <c r="E1442" s="45"/>
      <c r="F1442" s="302">
        <f t="shared" si="33"/>
        <v>0</v>
      </c>
    </row>
    <row r="1443" spans="1:6" s="570" customFormat="1" ht="27.75" customHeight="1">
      <c r="A1443" s="633"/>
      <c r="B1443" s="406" t="s">
        <v>877</v>
      </c>
      <c r="C1443" s="539" t="s">
        <v>34</v>
      </c>
      <c r="D1443" s="318">
        <v>2</v>
      </c>
      <c r="E1443" s="45"/>
      <c r="F1443" s="302">
        <f t="shared" si="33"/>
        <v>0</v>
      </c>
    </row>
    <row r="1444" spans="1:6" s="570" customFormat="1" ht="27" customHeight="1">
      <c r="A1444" s="633"/>
      <c r="B1444" s="406" t="s">
        <v>878</v>
      </c>
      <c r="C1444" s="539" t="s">
        <v>34</v>
      </c>
      <c r="D1444" s="318">
        <v>1</v>
      </c>
      <c r="E1444" s="45"/>
      <c r="F1444" s="302">
        <f t="shared" si="33"/>
        <v>0</v>
      </c>
    </row>
    <row r="1445" spans="1:6" s="570" customFormat="1">
      <c r="A1445" s="633"/>
      <c r="B1445" s="406"/>
      <c r="C1445" s="539"/>
      <c r="D1445" s="318"/>
      <c r="E1445" s="45"/>
      <c r="F1445" s="302">
        <f t="shared" si="33"/>
        <v>0</v>
      </c>
    </row>
    <row r="1446" spans="1:6" s="571" customFormat="1">
      <c r="A1446" s="633"/>
      <c r="B1446" s="294" t="s">
        <v>884</v>
      </c>
      <c r="C1446" s="539"/>
      <c r="D1446" s="318"/>
      <c r="E1446" s="352"/>
      <c r="F1446" s="302">
        <f t="shared" si="33"/>
        <v>0</v>
      </c>
    </row>
    <row r="1447" spans="1:6" s="571" customFormat="1">
      <c r="A1447" s="634"/>
      <c r="B1447" s="406"/>
      <c r="C1447" s="539"/>
      <c r="D1447" s="318"/>
      <c r="E1447" s="352"/>
      <c r="F1447" s="302">
        <f t="shared" si="33"/>
        <v>0</v>
      </c>
    </row>
    <row r="1448" spans="1:6" s="571" customFormat="1" ht="30">
      <c r="A1448" s="633">
        <v>27</v>
      </c>
      <c r="B1448" s="474" t="s">
        <v>971</v>
      </c>
      <c r="C1448" s="539"/>
      <c r="D1448" s="318"/>
      <c r="E1448" s="352"/>
      <c r="F1448" s="302">
        <f t="shared" si="33"/>
        <v>0</v>
      </c>
    </row>
    <row r="1449" spans="1:6" s="571" customFormat="1" ht="51">
      <c r="A1449" s="634"/>
      <c r="B1449" s="406" t="s">
        <v>886</v>
      </c>
      <c r="C1449" s="539"/>
      <c r="D1449" s="318"/>
      <c r="E1449" s="352"/>
      <c r="F1449" s="302">
        <f t="shared" si="33"/>
        <v>0</v>
      </c>
    </row>
    <row r="1450" spans="1:6" s="571" customFormat="1" ht="38.25">
      <c r="A1450" s="634"/>
      <c r="B1450" s="406" t="s">
        <v>885</v>
      </c>
      <c r="C1450" s="539"/>
      <c r="D1450" s="318"/>
      <c r="E1450" s="352"/>
      <c r="F1450" s="302">
        <f t="shared" si="33"/>
        <v>0</v>
      </c>
    </row>
    <row r="1451" spans="1:6" s="571" customFormat="1" ht="25.5">
      <c r="A1451" s="634"/>
      <c r="B1451" s="406" t="s">
        <v>972</v>
      </c>
      <c r="C1451" s="539"/>
      <c r="D1451" s="318"/>
      <c r="E1451" s="352"/>
      <c r="F1451" s="302">
        <f t="shared" si="33"/>
        <v>0</v>
      </c>
    </row>
    <row r="1452" spans="1:6" s="570" customFormat="1" ht="102">
      <c r="A1452" s="633"/>
      <c r="B1452" s="406" t="s">
        <v>908</v>
      </c>
      <c r="C1452" s="539"/>
      <c r="D1452" s="318"/>
      <c r="E1452" s="45"/>
      <c r="F1452" s="302">
        <f t="shared" si="33"/>
        <v>0</v>
      </c>
    </row>
    <row r="1453" spans="1:6" s="571" customFormat="1" ht="51">
      <c r="A1453" s="634"/>
      <c r="B1453" s="406" t="s">
        <v>887</v>
      </c>
      <c r="C1453" s="544"/>
      <c r="D1453" s="316"/>
      <c r="E1453" s="352"/>
      <c r="F1453" s="302">
        <f t="shared" si="33"/>
        <v>0</v>
      </c>
    </row>
    <row r="1454" spans="1:6" s="571" customFormat="1">
      <c r="A1454" s="634"/>
      <c r="B1454" s="406" t="s">
        <v>124</v>
      </c>
      <c r="C1454" s="635"/>
      <c r="D1454" s="316"/>
      <c r="E1454" s="352"/>
      <c r="F1454" s="302">
        <f t="shared" si="33"/>
        <v>0</v>
      </c>
    </row>
    <row r="1455" spans="1:6" s="571" customFormat="1">
      <c r="A1455" s="634"/>
      <c r="B1455" s="406" t="s">
        <v>891</v>
      </c>
      <c r="C1455" s="544"/>
      <c r="D1455" s="316"/>
      <c r="E1455" s="352"/>
      <c r="F1455" s="302">
        <f t="shared" si="33"/>
        <v>0</v>
      </c>
    </row>
    <row r="1456" spans="1:6" s="571" customFormat="1" ht="12.75" customHeight="1">
      <c r="A1456" s="634"/>
      <c r="B1456" s="406" t="s">
        <v>179</v>
      </c>
      <c r="C1456" s="539"/>
      <c r="D1456" s="318"/>
      <c r="E1456" s="352"/>
      <c r="F1456" s="302">
        <f t="shared" si="33"/>
        <v>0</v>
      </c>
    </row>
    <row r="1457" spans="1:6" s="571" customFormat="1" ht="38.25">
      <c r="A1457" s="634"/>
      <c r="B1457" s="406" t="s">
        <v>888</v>
      </c>
      <c r="C1457" s="539" t="s">
        <v>34</v>
      </c>
      <c r="D1457" s="318">
        <v>1</v>
      </c>
      <c r="E1457" s="352"/>
      <c r="F1457" s="302">
        <f t="shared" si="33"/>
        <v>0</v>
      </c>
    </row>
    <row r="1458" spans="1:6" s="570" customFormat="1" ht="44.25" customHeight="1">
      <c r="A1458" s="633"/>
      <c r="B1458" s="406" t="s">
        <v>889</v>
      </c>
      <c r="C1458" s="539" t="s">
        <v>34</v>
      </c>
      <c r="D1458" s="318">
        <v>3</v>
      </c>
      <c r="E1458" s="45"/>
      <c r="F1458" s="302">
        <f t="shared" si="33"/>
        <v>0</v>
      </c>
    </row>
    <row r="1459" spans="1:6" s="570" customFormat="1" ht="44.25" customHeight="1">
      <c r="A1459" s="633"/>
      <c r="B1459" s="406" t="s">
        <v>890</v>
      </c>
      <c r="C1459" s="539" t="s">
        <v>34</v>
      </c>
      <c r="D1459" s="318">
        <v>1</v>
      </c>
      <c r="E1459" s="45"/>
      <c r="F1459" s="302">
        <f t="shared" si="33"/>
        <v>0</v>
      </c>
    </row>
    <row r="1460" spans="1:6" s="570" customFormat="1" ht="39.75" customHeight="1">
      <c r="A1460" s="633"/>
      <c r="B1460" s="406" t="s">
        <v>896</v>
      </c>
      <c r="C1460" s="539" t="s">
        <v>34</v>
      </c>
      <c r="D1460" s="318">
        <v>1</v>
      </c>
      <c r="E1460" s="45"/>
      <c r="F1460" s="302">
        <f t="shared" si="33"/>
        <v>0</v>
      </c>
    </row>
    <row r="1461" spans="1:6" s="571" customFormat="1">
      <c r="A1461" s="634"/>
      <c r="B1461" s="406"/>
      <c r="C1461" s="544"/>
      <c r="D1461" s="316"/>
      <c r="E1461" s="352"/>
      <c r="F1461" s="302">
        <f t="shared" si="33"/>
        <v>0</v>
      </c>
    </row>
    <row r="1462" spans="1:6" s="571" customFormat="1" ht="30">
      <c r="A1462" s="633">
        <v>28</v>
      </c>
      <c r="B1462" s="474" t="s">
        <v>973</v>
      </c>
      <c r="C1462" s="539"/>
      <c r="D1462" s="318"/>
      <c r="E1462" s="352"/>
      <c r="F1462" s="302">
        <f t="shared" si="33"/>
        <v>0</v>
      </c>
    </row>
    <row r="1463" spans="1:6" s="571" customFormat="1" ht="51">
      <c r="A1463" s="634"/>
      <c r="B1463" s="406" t="s">
        <v>892</v>
      </c>
      <c r="C1463" s="539"/>
      <c r="D1463" s="318"/>
      <c r="E1463" s="352"/>
      <c r="F1463" s="302">
        <f t="shared" si="33"/>
        <v>0</v>
      </c>
    </row>
    <row r="1464" spans="1:6" s="571" customFormat="1" ht="38.25">
      <c r="A1464" s="634"/>
      <c r="B1464" s="406" t="s">
        <v>885</v>
      </c>
      <c r="C1464" s="539"/>
      <c r="D1464" s="318"/>
      <c r="E1464" s="352"/>
      <c r="F1464" s="302">
        <f t="shared" si="33"/>
        <v>0</v>
      </c>
    </row>
    <row r="1465" spans="1:6" s="571" customFormat="1" ht="25.5">
      <c r="A1465" s="634"/>
      <c r="B1465" s="406" t="s">
        <v>972</v>
      </c>
      <c r="C1465" s="539"/>
      <c r="D1465" s="318"/>
      <c r="E1465" s="352"/>
      <c r="F1465" s="302">
        <f t="shared" ref="F1465:F1528" si="34">D1465*E1465</f>
        <v>0</v>
      </c>
    </row>
    <row r="1466" spans="1:6" s="570" customFormat="1" ht="102">
      <c r="A1466" s="633"/>
      <c r="B1466" s="406" t="s">
        <v>908</v>
      </c>
      <c r="C1466" s="539"/>
      <c r="D1466" s="318"/>
      <c r="E1466" s="45"/>
      <c r="F1466" s="302">
        <f t="shared" si="34"/>
        <v>0</v>
      </c>
    </row>
    <row r="1467" spans="1:6" s="571" customFormat="1" ht="51">
      <c r="A1467" s="634"/>
      <c r="B1467" s="406" t="s">
        <v>887</v>
      </c>
      <c r="C1467" s="544"/>
      <c r="D1467" s="316"/>
      <c r="E1467" s="352"/>
      <c r="F1467" s="302">
        <f t="shared" si="34"/>
        <v>0</v>
      </c>
    </row>
    <row r="1468" spans="1:6" s="571" customFormat="1">
      <c r="A1468" s="634"/>
      <c r="B1468" s="406" t="s">
        <v>124</v>
      </c>
      <c r="C1468" s="635"/>
      <c r="D1468" s="316"/>
      <c r="E1468" s="352"/>
      <c r="F1468" s="302">
        <f t="shared" si="34"/>
        <v>0</v>
      </c>
    </row>
    <row r="1469" spans="1:6" s="571" customFormat="1">
      <c r="A1469" s="634"/>
      <c r="B1469" s="406" t="s">
        <v>893</v>
      </c>
      <c r="C1469" s="544"/>
      <c r="D1469" s="316"/>
      <c r="E1469" s="352"/>
      <c r="F1469" s="302">
        <f t="shared" si="34"/>
        <v>0</v>
      </c>
    </row>
    <row r="1470" spans="1:6" s="571" customFormat="1" ht="18.75" customHeight="1">
      <c r="A1470" s="634"/>
      <c r="B1470" s="406" t="s">
        <v>179</v>
      </c>
      <c r="C1470" s="539"/>
      <c r="D1470" s="318"/>
      <c r="E1470" s="352"/>
      <c r="F1470" s="302">
        <f t="shared" si="34"/>
        <v>0</v>
      </c>
    </row>
    <row r="1471" spans="1:6" s="571" customFormat="1" ht="38.25">
      <c r="A1471" s="634"/>
      <c r="B1471" s="406" t="s">
        <v>894</v>
      </c>
      <c r="C1471" s="539" t="s">
        <v>34</v>
      </c>
      <c r="D1471" s="318">
        <v>1</v>
      </c>
      <c r="E1471" s="352"/>
      <c r="F1471" s="302">
        <f t="shared" si="34"/>
        <v>0</v>
      </c>
    </row>
    <row r="1472" spans="1:6" s="570" customFormat="1" ht="44.25" customHeight="1">
      <c r="A1472" s="633"/>
      <c r="B1472" s="406" t="s">
        <v>889</v>
      </c>
      <c r="C1472" s="539" t="s">
        <v>34</v>
      </c>
      <c r="D1472" s="318">
        <v>1</v>
      </c>
      <c r="E1472" s="45"/>
      <c r="F1472" s="302">
        <f t="shared" si="34"/>
        <v>0</v>
      </c>
    </row>
    <row r="1473" spans="1:6" s="570" customFormat="1" ht="44.25" customHeight="1">
      <c r="A1473" s="633"/>
      <c r="B1473" s="406" t="s">
        <v>895</v>
      </c>
      <c r="C1473" s="539" t="s">
        <v>34</v>
      </c>
      <c r="D1473" s="318">
        <v>2</v>
      </c>
      <c r="E1473" s="45"/>
      <c r="F1473" s="302">
        <f t="shared" si="34"/>
        <v>0</v>
      </c>
    </row>
    <row r="1474" spans="1:6" s="571" customFormat="1">
      <c r="A1474" s="634"/>
      <c r="B1474" s="406"/>
      <c r="C1474" s="635"/>
      <c r="D1474" s="316"/>
      <c r="E1474" s="352"/>
      <c r="F1474" s="302">
        <f t="shared" si="34"/>
        <v>0</v>
      </c>
    </row>
    <row r="1475" spans="1:6" s="571" customFormat="1" ht="30">
      <c r="A1475" s="633">
        <v>29</v>
      </c>
      <c r="B1475" s="474" t="s">
        <v>897</v>
      </c>
      <c r="C1475" s="539"/>
      <c r="D1475" s="318"/>
      <c r="E1475" s="352"/>
      <c r="F1475" s="302">
        <f t="shared" si="34"/>
        <v>0</v>
      </c>
    </row>
    <row r="1476" spans="1:6" s="571" customFormat="1" ht="38.25">
      <c r="A1476" s="634"/>
      <c r="B1476" s="406" t="s">
        <v>898</v>
      </c>
      <c r="C1476" s="539"/>
      <c r="D1476" s="318"/>
      <c r="E1476" s="352"/>
      <c r="F1476" s="302">
        <f t="shared" si="34"/>
        <v>0</v>
      </c>
    </row>
    <row r="1477" spans="1:6" s="571" customFormat="1" ht="38.25">
      <c r="A1477" s="634"/>
      <c r="B1477" s="406" t="s">
        <v>885</v>
      </c>
      <c r="C1477" s="539"/>
      <c r="D1477" s="318"/>
      <c r="E1477" s="352"/>
      <c r="F1477" s="302">
        <f t="shared" si="34"/>
        <v>0</v>
      </c>
    </row>
    <row r="1478" spans="1:6" s="571" customFormat="1">
      <c r="A1478" s="634"/>
      <c r="B1478" s="406" t="s">
        <v>899</v>
      </c>
      <c r="C1478" s="539"/>
      <c r="D1478" s="318"/>
      <c r="E1478" s="352"/>
      <c r="F1478" s="302">
        <f t="shared" si="34"/>
        <v>0</v>
      </c>
    </row>
    <row r="1479" spans="1:6" s="570" customFormat="1" ht="102">
      <c r="A1479" s="633"/>
      <c r="B1479" s="406" t="s">
        <v>908</v>
      </c>
      <c r="C1479" s="539"/>
      <c r="D1479" s="318"/>
      <c r="E1479" s="45"/>
      <c r="F1479" s="302">
        <f t="shared" si="34"/>
        <v>0</v>
      </c>
    </row>
    <row r="1480" spans="1:6" s="571" customFormat="1" ht="51">
      <c r="A1480" s="634"/>
      <c r="B1480" s="406" t="s">
        <v>887</v>
      </c>
      <c r="C1480" s="544"/>
      <c r="D1480" s="316"/>
      <c r="E1480" s="352"/>
      <c r="F1480" s="302">
        <f t="shared" si="34"/>
        <v>0</v>
      </c>
    </row>
    <row r="1481" spans="1:6" s="571" customFormat="1">
      <c r="A1481" s="634"/>
      <c r="B1481" s="406" t="s">
        <v>124</v>
      </c>
      <c r="C1481" s="635"/>
      <c r="D1481" s="316"/>
      <c r="E1481" s="352"/>
      <c r="F1481" s="302">
        <f t="shared" si="34"/>
        <v>0</v>
      </c>
    </row>
    <row r="1482" spans="1:6" s="571" customFormat="1">
      <c r="A1482" s="634"/>
      <c r="B1482" s="406" t="s">
        <v>900</v>
      </c>
      <c r="C1482" s="544"/>
      <c r="D1482" s="316"/>
      <c r="E1482" s="352"/>
      <c r="F1482" s="302">
        <f t="shared" si="34"/>
        <v>0</v>
      </c>
    </row>
    <row r="1483" spans="1:6" s="571" customFormat="1" ht="15" customHeight="1">
      <c r="A1483" s="634"/>
      <c r="B1483" s="406" t="s">
        <v>179</v>
      </c>
      <c r="C1483" s="539"/>
      <c r="D1483" s="318"/>
      <c r="E1483" s="352"/>
      <c r="F1483" s="302">
        <f t="shared" si="34"/>
        <v>0</v>
      </c>
    </row>
    <row r="1484" spans="1:6" s="571" customFormat="1" ht="16.5" customHeight="1">
      <c r="A1484" s="634"/>
      <c r="B1484" s="406" t="s">
        <v>901</v>
      </c>
      <c r="C1484" s="539" t="s">
        <v>34</v>
      </c>
      <c r="D1484" s="318">
        <v>1</v>
      </c>
      <c r="E1484" s="352"/>
      <c r="F1484" s="302">
        <f t="shared" si="34"/>
        <v>0</v>
      </c>
    </row>
    <row r="1485" spans="1:6" s="570" customFormat="1" ht="16.5" customHeight="1">
      <c r="A1485" s="633"/>
      <c r="B1485" s="406" t="s">
        <v>902</v>
      </c>
      <c r="C1485" s="539" t="s">
        <v>34</v>
      </c>
      <c r="D1485" s="318">
        <v>1</v>
      </c>
      <c r="E1485" s="45"/>
      <c r="F1485" s="302">
        <f t="shared" si="34"/>
        <v>0</v>
      </c>
    </row>
    <row r="1486" spans="1:6" s="570" customFormat="1">
      <c r="A1486" s="633"/>
      <c r="B1486" s="406"/>
      <c r="C1486" s="636"/>
      <c r="D1486" s="318"/>
      <c r="E1486" s="45"/>
      <c r="F1486" s="302">
        <f t="shared" si="34"/>
        <v>0</v>
      </c>
    </row>
    <row r="1487" spans="1:6" s="570" customFormat="1">
      <c r="A1487" s="633"/>
      <c r="B1487" s="474" t="s">
        <v>903</v>
      </c>
      <c r="C1487" s="539"/>
      <c r="D1487" s="318"/>
      <c r="E1487" s="45"/>
      <c r="F1487" s="302">
        <f t="shared" si="34"/>
        <v>0</v>
      </c>
    </row>
    <row r="1488" spans="1:6" s="570" customFormat="1">
      <c r="A1488" s="633"/>
      <c r="B1488" s="406"/>
      <c r="C1488" s="539"/>
      <c r="D1488" s="318"/>
      <c r="E1488" s="45"/>
      <c r="F1488" s="302">
        <f t="shared" si="34"/>
        <v>0</v>
      </c>
    </row>
    <row r="1489" spans="1:6" s="571" customFormat="1">
      <c r="A1489" s="633">
        <v>30</v>
      </c>
      <c r="B1489" s="474" t="s">
        <v>5526</v>
      </c>
      <c r="C1489" s="539"/>
      <c r="D1489" s="318"/>
      <c r="E1489" s="352"/>
      <c r="F1489" s="302">
        <f t="shared" si="34"/>
        <v>0</v>
      </c>
    </row>
    <row r="1490" spans="1:6" s="570" customFormat="1" ht="63.75">
      <c r="A1490" s="633"/>
      <c r="B1490" s="406" t="s">
        <v>906</v>
      </c>
      <c r="C1490" s="539"/>
      <c r="D1490" s="318"/>
      <c r="E1490" s="45"/>
      <c r="F1490" s="302">
        <f t="shared" si="34"/>
        <v>0</v>
      </c>
    </row>
    <row r="1491" spans="1:6" s="570" customFormat="1" ht="38.25">
      <c r="A1491" s="633"/>
      <c r="B1491" s="406" t="s">
        <v>904</v>
      </c>
      <c r="C1491" s="539"/>
      <c r="D1491" s="318"/>
      <c r="E1491" s="45"/>
      <c r="F1491" s="302">
        <f t="shared" si="34"/>
        <v>0</v>
      </c>
    </row>
    <row r="1492" spans="1:6" s="570" customFormat="1" ht="25.5">
      <c r="A1492" s="633"/>
      <c r="B1492" s="406" t="s">
        <v>905</v>
      </c>
      <c r="C1492" s="539"/>
      <c r="D1492" s="318"/>
      <c r="E1492" s="45"/>
      <c r="F1492" s="302">
        <f t="shared" si="34"/>
        <v>0</v>
      </c>
    </row>
    <row r="1493" spans="1:6" s="570" customFormat="1" ht="104.25" customHeight="1">
      <c r="A1493" s="633"/>
      <c r="B1493" s="406" t="s">
        <v>907</v>
      </c>
      <c r="C1493" s="539"/>
      <c r="D1493" s="318"/>
      <c r="E1493" s="45"/>
      <c r="F1493" s="302">
        <f t="shared" si="34"/>
        <v>0</v>
      </c>
    </row>
    <row r="1494" spans="1:6" s="571" customFormat="1" ht="51">
      <c r="A1494" s="634"/>
      <c r="B1494" s="406" t="s">
        <v>887</v>
      </c>
      <c r="C1494" s="544"/>
      <c r="D1494" s="316"/>
      <c r="E1494" s="352"/>
      <c r="F1494" s="302">
        <f t="shared" si="34"/>
        <v>0</v>
      </c>
    </row>
    <row r="1495" spans="1:6" s="571" customFormat="1">
      <c r="A1495" s="634"/>
      <c r="B1495" s="406" t="s">
        <v>124</v>
      </c>
      <c r="C1495" s="635"/>
      <c r="D1495" s="316"/>
      <c r="E1495" s="352"/>
      <c r="F1495" s="302">
        <f t="shared" si="34"/>
        <v>0</v>
      </c>
    </row>
    <row r="1496" spans="1:6" s="571" customFormat="1" ht="15" customHeight="1">
      <c r="A1496" s="634"/>
      <c r="B1496" s="406" t="s">
        <v>179</v>
      </c>
      <c r="C1496" s="539"/>
      <c r="D1496" s="318"/>
      <c r="E1496" s="352"/>
      <c r="F1496" s="302">
        <f t="shared" si="34"/>
        <v>0</v>
      </c>
    </row>
    <row r="1497" spans="1:6" s="571" customFormat="1" ht="16.5" customHeight="1">
      <c r="A1497" s="634"/>
      <c r="B1497" s="406" t="s">
        <v>909</v>
      </c>
      <c r="C1497" s="539" t="s">
        <v>34</v>
      </c>
      <c r="D1497" s="318">
        <v>1</v>
      </c>
      <c r="E1497" s="352"/>
      <c r="F1497" s="302">
        <f t="shared" si="34"/>
        <v>0</v>
      </c>
    </row>
    <row r="1498" spans="1:6" s="570" customFormat="1" ht="16.5" customHeight="1">
      <c r="A1498" s="633"/>
      <c r="B1498" s="406" t="s">
        <v>910</v>
      </c>
      <c r="C1498" s="539" t="s">
        <v>34</v>
      </c>
      <c r="D1498" s="318">
        <v>1</v>
      </c>
      <c r="E1498" s="45"/>
      <c r="F1498" s="302">
        <f t="shared" si="34"/>
        <v>0</v>
      </c>
    </row>
    <row r="1499" spans="1:6" s="570" customFormat="1" ht="16.5" customHeight="1">
      <c r="A1499" s="633"/>
      <c r="B1499" s="406" t="s">
        <v>911</v>
      </c>
      <c r="C1499" s="539" t="s">
        <v>34</v>
      </c>
      <c r="D1499" s="318">
        <v>1</v>
      </c>
      <c r="E1499" s="45"/>
      <c r="F1499" s="302">
        <f t="shared" si="34"/>
        <v>0</v>
      </c>
    </row>
    <row r="1500" spans="1:6" s="570" customFormat="1" ht="16.5" customHeight="1">
      <c r="A1500" s="633"/>
      <c r="B1500" s="406"/>
      <c r="C1500" s="539"/>
      <c r="D1500" s="318"/>
      <c r="E1500" s="45"/>
      <c r="F1500" s="302">
        <f t="shared" si="34"/>
        <v>0</v>
      </c>
    </row>
    <row r="1501" spans="1:6" s="571" customFormat="1">
      <c r="A1501" s="633">
        <v>31</v>
      </c>
      <c r="B1501" s="474" t="s">
        <v>5527</v>
      </c>
      <c r="C1501" s="539"/>
      <c r="D1501" s="318"/>
      <c r="E1501" s="352"/>
      <c r="F1501" s="302">
        <f t="shared" si="34"/>
        <v>0</v>
      </c>
    </row>
    <row r="1502" spans="1:6" s="571" customFormat="1" ht="63.75">
      <c r="A1502" s="634"/>
      <c r="B1502" s="406" t="s">
        <v>974</v>
      </c>
      <c r="C1502" s="544"/>
      <c r="D1502" s="316"/>
      <c r="E1502" s="352"/>
      <c r="F1502" s="302">
        <f t="shared" si="34"/>
        <v>0</v>
      </c>
    </row>
    <row r="1503" spans="1:6" s="571" customFormat="1" ht="39" customHeight="1">
      <c r="A1503" s="634"/>
      <c r="B1503" s="406" t="s">
        <v>913</v>
      </c>
      <c r="C1503" s="544"/>
      <c r="D1503" s="316"/>
      <c r="E1503" s="352"/>
      <c r="F1503" s="302">
        <f t="shared" si="34"/>
        <v>0</v>
      </c>
    </row>
    <row r="1504" spans="1:6" s="571" customFormat="1" ht="52.5" customHeight="1">
      <c r="A1504" s="634"/>
      <c r="B1504" s="406" t="s">
        <v>912</v>
      </c>
      <c r="C1504" s="544"/>
      <c r="D1504" s="316"/>
      <c r="E1504" s="352"/>
      <c r="F1504" s="302">
        <f t="shared" si="34"/>
        <v>0</v>
      </c>
    </row>
    <row r="1505" spans="1:6" s="571" customFormat="1" ht="38.25">
      <c r="A1505" s="634"/>
      <c r="B1505" s="434" t="s">
        <v>914</v>
      </c>
      <c r="C1505" s="544"/>
      <c r="D1505" s="316"/>
      <c r="E1505" s="352"/>
      <c r="F1505" s="302">
        <f t="shared" si="34"/>
        <v>0</v>
      </c>
    </row>
    <row r="1506" spans="1:6" s="570" customFormat="1" ht="104.25" customHeight="1">
      <c r="A1506" s="633"/>
      <c r="B1506" s="406" t="s">
        <v>907</v>
      </c>
      <c r="C1506" s="539"/>
      <c r="D1506" s="318"/>
      <c r="E1506" s="45"/>
      <c r="F1506" s="302">
        <f t="shared" si="34"/>
        <v>0</v>
      </c>
    </row>
    <row r="1507" spans="1:6" s="571" customFormat="1" ht="51">
      <c r="A1507" s="634"/>
      <c r="B1507" s="406" t="s">
        <v>887</v>
      </c>
      <c r="C1507" s="544"/>
      <c r="D1507" s="316"/>
      <c r="E1507" s="352"/>
      <c r="F1507" s="302">
        <f t="shared" si="34"/>
        <v>0</v>
      </c>
    </row>
    <row r="1508" spans="1:6" s="571" customFormat="1">
      <c r="A1508" s="634"/>
      <c r="B1508" s="406" t="s">
        <v>124</v>
      </c>
      <c r="C1508" s="635"/>
      <c r="D1508" s="316"/>
      <c r="E1508" s="352"/>
      <c r="F1508" s="302">
        <f t="shared" si="34"/>
        <v>0</v>
      </c>
    </row>
    <row r="1509" spans="1:6" s="571" customFormat="1" ht="15" customHeight="1">
      <c r="A1509" s="634"/>
      <c r="B1509" s="406" t="s">
        <v>179</v>
      </c>
      <c r="C1509" s="539"/>
      <c r="D1509" s="318"/>
      <c r="E1509" s="352"/>
      <c r="F1509" s="302">
        <f t="shared" si="34"/>
        <v>0</v>
      </c>
    </row>
    <row r="1510" spans="1:6" s="571" customFormat="1">
      <c r="A1510" s="634"/>
      <c r="B1510" s="406" t="s">
        <v>2095</v>
      </c>
      <c r="C1510" s="637" t="s">
        <v>991</v>
      </c>
      <c r="D1510" s="318">
        <v>1</v>
      </c>
      <c r="E1510" s="352"/>
      <c r="F1510" s="302">
        <f t="shared" si="34"/>
        <v>0</v>
      </c>
    </row>
    <row r="1511" spans="1:6" s="571" customFormat="1">
      <c r="A1511" s="634"/>
      <c r="B1511" s="406"/>
      <c r="C1511" s="539"/>
      <c r="D1511" s="318"/>
      <c r="E1511" s="352"/>
      <c r="F1511" s="302">
        <f t="shared" si="34"/>
        <v>0</v>
      </c>
    </row>
    <row r="1512" spans="1:6" s="571" customFormat="1">
      <c r="A1512" s="633">
        <v>32</v>
      </c>
      <c r="B1512" s="474" t="s">
        <v>5528</v>
      </c>
      <c r="C1512" s="539"/>
      <c r="D1512" s="318"/>
      <c r="E1512" s="352"/>
      <c r="F1512" s="302">
        <f t="shared" si="34"/>
        <v>0</v>
      </c>
    </row>
    <row r="1513" spans="1:6" s="571" customFormat="1" ht="51">
      <c r="A1513" s="634"/>
      <c r="B1513" s="406" t="s">
        <v>1448</v>
      </c>
      <c r="C1513" s="539"/>
      <c r="D1513" s="318"/>
      <c r="E1513" s="352"/>
      <c r="F1513" s="302">
        <f t="shared" si="34"/>
        <v>0</v>
      </c>
    </row>
    <row r="1514" spans="1:6" s="571" customFormat="1" ht="25.5">
      <c r="A1514" s="634"/>
      <c r="B1514" s="406" t="s">
        <v>1449</v>
      </c>
      <c r="C1514" s="539"/>
      <c r="D1514" s="318"/>
      <c r="E1514" s="352"/>
      <c r="F1514" s="302">
        <f t="shared" si="34"/>
        <v>0</v>
      </c>
    </row>
    <row r="1515" spans="1:6" s="570" customFormat="1" ht="104.25" customHeight="1">
      <c r="A1515" s="633"/>
      <c r="B1515" s="406" t="s">
        <v>907</v>
      </c>
      <c r="C1515" s="539"/>
      <c r="D1515" s="318"/>
      <c r="E1515" s="45"/>
      <c r="F1515" s="302">
        <f t="shared" si="34"/>
        <v>0</v>
      </c>
    </row>
    <row r="1516" spans="1:6" s="571" customFormat="1" ht="51">
      <c r="A1516" s="634"/>
      <c r="B1516" s="406" t="s">
        <v>887</v>
      </c>
      <c r="C1516" s="544"/>
      <c r="D1516" s="316"/>
      <c r="E1516" s="352"/>
      <c r="F1516" s="302">
        <f t="shared" si="34"/>
        <v>0</v>
      </c>
    </row>
    <row r="1517" spans="1:6" s="571" customFormat="1">
      <c r="A1517" s="634"/>
      <c r="B1517" s="406" t="s">
        <v>124</v>
      </c>
      <c r="C1517" s="635"/>
      <c r="D1517" s="316"/>
      <c r="E1517" s="352"/>
      <c r="F1517" s="302">
        <f t="shared" si="34"/>
        <v>0</v>
      </c>
    </row>
    <row r="1518" spans="1:6" s="571" customFormat="1" ht="51">
      <c r="A1518" s="634"/>
      <c r="B1518" s="406" t="s">
        <v>1450</v>
      </c>
      <c r="C1518" s="635"/>
      <c r="D1518" s="316"/>
      <c r="E1518" s="352"/>
      <c r="F1518" s="302">
        <f t="shared" si="34"/>
        <v>0</v>
      </c>
    </row>
    <row r="1519" spans="1:6" s="571" customFormat="1" ht="15" customHeight="1">
      <c r="A1519" s="634"/>
      <c r="B1519" s="406" t="s">
        <v>179</v>
      </c>
      <c r="C1519" s="539" t="s">
        <v>34</v>
      </c>
      <c r="D1519" s="318">
        <v>7</v>
      </c>
      <c r="E1519" s="352"/>
      <c r="F1519" s="302">
        <f t="shared" si="34"/>
        <v>0</v>
      </c>
    </row>
    <row r="1520" spans="1:6" s="571" customFormat="1" ht="15" customHeight="1">
      <c r="A1520" s="634"/>
      <c r="B1520" s="406"/>
      <c r="C1520" s="539"/>
      <c r="D1520" s="318"/>
      <c r="E1520" s="352"/>
      <c r="F1520" s="302">
        <f t="shared" si="34"/>
        <v>0</v>
      </c>
    </row>
    <row r="1521" spans="1:6" s="571" customFormat="1" ht="15" customHeight="1">
      <c r="A1521" s="633">
        <v>33</v>
      </c>
      <c r="B1521" s="474" t="s">
        <v>5529</v>
      </c>
      <c r="C1521" s="539"/>
      <c r="D1521" s="318"/>
      <c r="E1521" s="352"/>
      <c r="F1521" s="302">
        <f t="shared" si="34"/>
        <v>0</v>
      </c>
    </row>
    <row r="1522" spans="1:6" s="571" customFormat="1" ht="102">
      <c r="A1522" s="634"/>
      <c r="B1522" s="406" t="s">
        <v>1898</v>
      </c>
      <c r="C1522" s="539"/>
      <c r="D1522" s="318"/>
      <c r="E1522" s="352"/>
      <c r="F1522" s="302">
        <f t="shared" si="34"/>
        <v>0</v>
      </c>
    </row>
    <row r="1523" spans="1:6" s="570" customFormat="1" ht="104.25" customHeight="1">
      <c r="A1523" s="633"/>
      <c r="B1523" s="406" t="s">
        <v>907</v>
      </c>
      <c r="C1523" s="539"/>
      <c r="D1523" s="318"/>
      <c r="E1523" s="45"/>
      <c r="F1523" s="302">
        <f t="shared" si="34"/>
        <v>0</v>
      </c>
    </row>
    <row r="1524" spans="1:6" s="571" customFormat="1" ht="51">
      <c r="A1524" s="634"/>
      <c r="B1524" s="406" t="s">
        <v>887</v>
      </c>
      <c r="C1524" s="544"/>
      <c r="D1524" s="316"/>
      <c r="E1524" s="352"/>
      <c r="F1524" s="302">
        <f t="shared" si="34"/>
        <v>0</v>
      </c>
    </row>
    <row r="1525" spans="1:6" s="571" customFormat="1">
      <c r="A1525" s="634"/>
      <c r="B1525" s="406" t="s">
        <v>124</v>
      </c>
      <c r="C1525" s="635"/>
      <c r="D1525" s="316"/>
      <c r="E1525" s="352"/>
      <c r="F1525" s="302">
        <f t="shared" si="34"/>
        <v>0</v>
      </c>
    </row>
    <row r="1526" spans="1:6" s="571" customFormat="1" ht="15" customHeight="1">
      <c r="A1526" s="634"/>
      <c r="B1526" s="406" t="s">
        <v>1903</v>
      </c>
      <c r="C1526" s="539"/>
      <c r="D1526" s="318"/>
      <c r="E1526" s="352"/>
      <c r="F1526" s="302">
        <f t="shared" si="34"/>
        <v>0</v>
      </c>
    </row>
    <row r="1527" spans="1:6" s="571" customFormat="1" ht="25.5">
      <c r="A1527" s="634"/>
      <c r="B1527" s="406" t="s">
        <v>1904</v>
      </c>
      <c r="C1527" s="539" t="s">
        <v>123</v>
      </c>
      <c r="D1527" s="318">
        <v>1</v>
      </c>
      <c r="E1527" s="352"/>
      <c r="F1527" s="302">
        <f t="shared" si="34"/>
        <v>0</v>
      </c>
    </row>
    <row r="1528" spans="1:6" s="571" customFormat="1" ht="15" customHeight="1">
      <c r="A1528" s="634"/>
      <c r="B1528" s="406" t="s">
        <v>1899</v>
      </c>
      <c r="C1528" s="539" t="s">
        <v>34</v>
      </c>
      <c r="D1528" s="318">
        <v>1</v>
      </c>
      <c r="E1528" s="352"/>
      <c r="F1528" s="302">
        <f t="shared" si="34"/>
        <v>0</v>
      </c>
    </row>
    <row r="1529" spans="1:6" s="571" customFormat="1" ht="15" customHeight="1">
      <c r="A1529" s="634"/>
      <c r="B1529" s="406" t="s">
        <v>1900</v>
      </c>
      <c r="C1529" s="539" t="s">
        <v>34</v>
      </c>
      <c r="D1529" s="318">
        <v>1</v>
      </c>
      <c r="E1529" s="352"/>
      <c r="F1529" s="302">
        <f t="shared" ref="F1529:F1604" si="35">D1529*E1529</f>
        <v>0</v>
      </c>
    </row>
    <row r="1530" spans="1:6" s="571" customFormat="1" ht="15" customHeight="1">
      <c r="A1530" s="634"/>
      <c r="B1530" s="406" t="s">
        <v>1901</v>
      </c>
      <c r="C1530" s="539" t="s">
        <v>34</v>
      </c>
      <c r="D1530" s="318">
        <v>1</v>
      </c>
      <c r="E1530" s="352"/>
      <c r="F1530" s="302">
        <f t="shared" si="35"/>
        <v>0</v>
      </c>
    </row>
    <row r="1531" spans="1:6" s="571" customFormat="1" ht="15" customHeight="1">
      <c r="A1531" s="634"/>
      <c r="B1531" s="406" t="s">
        <v>1902</v>
      </c>
      <c r="C1531" s="539" t="s">
        <v>34</v>
      </c>
      <c r="D1531" s="318">
        <v>1</v>
      </c>
      <c r="E1531" s="352"/>
      <c r="F1531" s="302">
        <f t="shared" si="35"/>
        <v>0</v>
      </c>
    </row>
    <row r="1532" spans="1:6" s="571" customFormat="1" ht="15" customHeight="1">
      <c r="A1532" s="634"/>
      <c r="B1532" s="406"/>
      <c r="C1532" s="539"/>
      <c r="D1532" s="318"/>
      <c r="E1532" s="352"/>
      <c r="F1532" s="302">
        <f t="shared" si="35"/>
        <v>0</v>
      </c>
    </row>
    <row r="1533" spans="1:6" s="570" customFormat="1" ht="15" customHeight="1">
      <c r="A1533" s="633">
        <v>34</v>
      </c>
      <c r="B1533" s="474" t="s">
        <v>5602</v>
      </c>
      <c r="C1533" s="1609"/>
      <c r="D1533" s="339"/>
      <c r="E1533" s="1610"/>
      <c r="F1533" s="302">
        <f t="shared" si="35"/>
        <v>0</v>
      </c>
    </row>
    <row r="1534" spans="1:6" s="278" customFormat="1" ht="25.5">
      <c r="A1534" s="1603"/>
      <c r="B1534" s="406" t="s">
        <v>5603</v>
      </c>
      <c r="C1534" s="539"/>
      <c r="D1534" s="318"/>
      <c r="E1534" s="539"/>
      <c r="F1534" s="302">
        <f t="shared" si="35"/>
        <v>0</v>
      </c>
    </row>
    <row r="1535" spans="1:6" s="278" customFormat="1" ht="25.5">
      <c r="A1535" s="1603"/>
      <c r="B1535" s="406" t="s">
        <v>5592</v>
      </c>
      <c r="C1535" s="539"/>
      <c r="D1535" s="318"/>
      <c r="E1535" s="539"/>
      <c r="F1535" s="302">
        <f t="shared" si="35"/>
        <v>0</v>
      </c>
    </row>
    <row r="1536" spans="1:6" s="278" customFormat="1" ht="114.75">
      <c r="A1536" s="1603"/>
      <c r="B1536" s="406" t="s">
        <v>907</v>
      </c>
      <c r="C1536" s="539"/>
      <c r="D1536" s="318"/>
      <c r="E1536" s="539"/>
      <c r="F1536" s="302">
        <f t="shared" si="35"/>
        <v>0</v>
      </c>
    </row>
    <row r="1537" spans="1:6" s="278" customFormat="1" ht="51">
      <c r="A1537" s="1603"/>
      <c r="B1537" s="406" t="s">
        <v>887</v>
      </c>
      <c r="C1537" s="539"/>
      <c r="D1537" s="318"/>
      <c r="E1537" s="539"/>
      <c r="F1537" s="302">
        <f t="shared" si="35"/>
        <v>0</v>
      </c>
    </row>
    <row r="1538" spans="1:6" s="278" customFormat="1" ht="15.75">
      <c r="A1538" s="1603"/>
      <c r="B1538" s="406" t="s">
        <v>124</v>
      </c>
      <c r="C1538" s="539"/>
      <c r="D1538" s="318"/>
      <c r="E1538" s="539"/>
      <c r="F1538" s="302">
        <f t="shared" si="35"/>
        <v>0</v>
      </c>
    </row>
    <row r="1539" spans="1:6" s="278" customFormat="1">
      <c r="A1539" s="1604"/>
      <c r="B1539" s="406" t="s">
        <v>179</v>
      </c>
      <c r="C1539" s="539"/>
      <c r="D1539" s="318"/>
      <c r="E1539" s="539"/>
      <c r="F1539" s="302">
        <f t="shared" si="35"/>
        <v>0</v>
      </c>
    </row>
    <row r="1540" spans="1:6" s="278" customFormat="1">
      <c r="A1540" s="1604"/>
      <c r="B1540" s="406" t="s">
        <v>5593</v>
      </c>
      <c r="C1540" s="539" t="s">
        <v>34</v>
      </c>
      <c r="D1540" s="318">
        <v>2</v>
      </c>
      <c r="E1540" s="539"/>
      <c r="F1540" s="302">
        <f t="shared" si="35"/>
        <v>0</v>
      </c>
    </row>
    <row r="1541" spans="1:6" s="278" customFormat="1">
      <c r="A1541" s="1604"/>
      <c r="B1541" s="406" t="s">
        <v>5594</v>
      </c>
      <c r="C1541" s="539" t="s">
        <v>34</v>
      </c>
      <c r="D1541" s="318">
        <v>1</v>
      </c>
      <c r="E1541" s="539"/>
      <c r="F1541" s="302">
        <f t="shared" si="35"/>
        <v>0</v>
      </c>
    </row>
    <row r="1542" spans="1:6" s="278" customFormat="1">
      <c r="A1542" s="1604"/>
      <c r="B1542" s="406" t="s">
        <v>5595</v>
      </c>
      <c r="C1542" s="539" t="s">
        <v>34</v>
      </c>
      <c r="D1542" s="318">
        <v>1</v>
      </c>
      <c r="E1542" s="539"/>
      <c r="F1542" s="302">
        <f t="shared" si="35"/>
        <v>0</v>
      </c>
    </row>
    <row r="1543" spans="1:6" customFormat="1" ht="15.75">
      <c r="A1543" s="1605"/>
      <c r="B1543" s="1606"/>
      <c r="C1543" s="1607"/>
      <c r="D1543" s="1608"/>
      <c r="E1543" s="539"/>
      <c r="F1543" s="302">
        <f t="shared" si="35"/>
        <v>0</v>
      </c>
    </row>
    <row r="1544" spans="1:6" customFormat="1">
      <c r="A1544" s="633">
        <v>35</v>
      </c>
      <c r="B1544" s="474" t="s">
        <v>5604</v>
      </c>
      <c r="C1544" s="539"/>
      <c r="D1544" s="318"/>
      <c r="E1544" s="539"/>
      <c r="F1544" s="302">
        <f t="shared" si="35"/>
        <v>0</v>
      </c>
    </row>
    <row r="1545" spans="1:6" customFormat="1" ht="38.25">
      <c r="A1545" s="1605"/>
      <c r="B1545" s="406" t="s">
        <v>5605</v>
      </c>
      <c r="C1545" s="539"/>
      <c r="D1545" s="318"/>
      <c r="E1545" s="539"/>
      <c r="F1545" s="302">
        <f t="shared" si="35"/>
        <v>0</v>
      </c>
    </row>
    <row r="1546" spans="1:6" customFormat="1" ht="51">
      <c r="A1546" s="1605"/>
      <c r="B1546" s="406" t="s">
        <v>887</v>
      </c>
      <c r="C1546" s="539"/>
      <c r="D1546" s="318"/>
      <c r="E1546" s="539"/>
      <c r="F1546" s="302">
        <f t="shared" si="35"/>
        <v>0</v>
      </c>
    </row>
    <row r="1547" spans="1:6" customFormat="1" ht="15.75">
      <c r="A1547" s="1605"/>
      <c r="B1547" s="406" t="s">
        <v>124</v>
      </c>
      <c r="C1547" s="539"/>
      <c r="D1547" s="318"/>
      <c r="E1547" s="539"/>
      <c r="F1547" s="302">
        <f t="shared" si="35"/>
        <v>0</v>
      </c>
    </row>
    <row r="1548" spans="1:6" customFormat="1" ht="15.75">
      <c r="A1548" s="1605"/>
      <c r="B1548" s="406" t="s">
        <v>179</v>
      </c>
      <c r="C1548" s="539"/>
      <c r="D1548" s="318"/>
      <c r="E1548" s="539"/>
      <c r="F1548" s="302">
        <f t="shared" si="35"/>
        <v>0</v>
      </c>
    </row>
    <row r="1549" spans="1:6" customFormat="1" ht="15.75">
      <c r="A1549" s="1605"/>
      <c r="B1549" s="406" t="s">
        <v>5596</v>
      </c>
      <c r="C1549" s="539" t="s">
        <v>34</v>
      </c>
      <c r="D1549" s="318">
        <v>1</v>
      </c>
      <c r="E1549" s="539"/>
      <c r="F1549" s="302">
        <f t="shared" si="35"/>
        <v>0</v>
      </c>
    </row>
    <row r="1550" spans="1:6" customFormat="1" ht="15.75">
      <c r="A1550" s="1605"/>
      <c r="B1550" s="406"/>
      <c r="C1550" s="539"/>
      <c r="D1550" s="318"/>
      <c r="E1550" s="539"/>
      <c r="F1550" s="302">
        <f t="shared" si="35"/>
        <v>0</v>
      </c>
    </row>
    <row r="1551" spans="1:6" customFormat="1">
      <c r="A1551" s="633">
        <v>36</v>
      </c>
      <c r="B1551" s="474" t="s">
        <v>5606</v>
      </c>
      <c r="C1551" s="539"/>
      <c r="D1551" s="318"/>
      <c r="E1551" s="539"/>
      <c r="F1551" s="302">
        <f t="shared" si="35"/>
        <v>0</v>
      </c>
    </row>
    <row r="1552" spans="1:6" customFormat="1" ht="38.25">
      <c r="A1552" s="1605"/>
      <c r="B1552" s="406" t="s">
        <v>5597</v>
      </c>
      <c r="C1552" s="539"/>
      <c r="D1552" s="318"/>
      <c r="E1552" s="539"/>
      <c r="F1552" s="302">
        <f t="shared" si="35"/>
        <v>0</v>
      </c>
    </row>
    <row r="1553" spans="1:6" customFormat="1" ht="15.75">
      <c r="A1553" s="1605"/>
      <c r="B1553" s="406" t="s">
        <v>5598</v>
      </c>
      <c r="C1553" s="539"/>
      <c r="D1553" s="318"/>
      <c r="E1553" s="539"/>
      <c r="F1553" s="302">
        <f t="shared" si="35"/>
        <v>0</v>
      </c>
    </row>
    <row r="1554" spans="1:6" customFormat="1" ht="51">
      <c r="A1554" s="1604"/>
      <c r="B1554" s="406" t="s">
        <v>887</v>
      </c>
      <c r="C1554" s="539"/>
      <c r="D1554" s="318"/>
      <c r="E1554" s="539"/>
      <c r="F1554" s="302">
        <f t="shared" si="35"/>
        <v>0</v>
      </c>
    </row>
    <row r="1555" spans="1:6" customFormat="1">
      <c r="A1555" s="1604"/>
      <c r="B1555" s="406" t="s">
        <v>124</v>
      </c>
      <c r="C1555" s="539"/>
      <c r="D1555" s="318"/>
      <c r="E1555" s="539"/>
      <c r="F1555" s="302">
        <f t="shared" si="35"/>
        <v>0</v>
      </c>
    </row>
    <row r="1556" spans="1:6" customFormat="1">
      <c r="A1556" s="1604"/>
      <c r="B1556" s="406" t="s">
        <v>179</v>
      </c>
      <c r="C1556" s="539"/>
      <c r="D1556" s="318"/>
      <c r="E1556" s="539"/>
      <c r="F1556" s="302">
        <f t="shared" si="35"/>
        <v>0</v>
      </c>
    </row>
    <row r="1557" spans="1:6" customFormat="1">
      <c r="A1557" s="1604"/>
      <c r="B1557" s="406" t="s">
        <v>5599</v>
      </c>
      <c r="C1557" s="539" t="s">
        <v>34</v>
      </c>
      <c r="D1557" s="318">
        <v>1</v>
      </c>
      <c r="E1557" s="539"/>
      <c r="F1557" s="302">
        <f t="shared" si="35"/>
        <v>0</v>
      </c>
    </row>
    <row r="1558" spans="1:6" customFormat="1">
      <c r="A1558" s="1604"/>
      <c r="B1558" s="406" t="s">
        <v>5600</v>
      </c>
      <c r="C1558" s="539" t="s">
        <v>34</v>
      </c>
      <c r="D1558" s="318">
        <v>1</v>
      </c>
      <c r="E1558" s="539"/>
      <c r="F1558" s="302">
        <f t="shared" si="35"/>
        <v>0</v>
      </c>
    </row>
    <row r="1559" spans="1:6" customFormat="1">
      <c r="A1559" s="1604"/>
      <c r="B1559" s="406" t="s">
        <v>5601</v>
      </c>
      <c r="C1559" s="539" t="s">
        <v>34</v>
      </c>
      <c r="D1559" s="318">
        <v>1</v>
      </c>
      <c r="E1559" s="539"/>
      <c r="F1559" s="302">
        <f t="shared" si="35"/>
        <v>0</v>
      </c>
    </row>
    <row r="1560" spans="1:6" s="571" customFormat="1" ht="15" customHeight="1">
      <c r="A1560" s="634"/>
      <c r="B1560" s="406"/>
      <c r="C1560" s="539"/>
      <c r="D1560" s="318"/>
      <c r="E1560" s="352"/>
      <c r="F1560" s="302">
        <f t="shared" si="35"/>
        <v>0</v>
      </c>
    </row>
    <row r="1561" spans="1:6" s="571" customFormat="1">
      <c r="A1561" s="634"/>
      <c r="B1561" s="474" t="s">
        <v>1434</v>
      </c>
      <c r="C1561" s="539"/>
      <c r="D1561" s="318"/>
      <c r="E1561" s="352"/>
      <c r="F1561" s="302">
        <f t="shared" si="35"/>
        <v>0</v>
      </c>
    </row>
    <row r="1562" spans="1:6" s="571" customFormat="1">
      <c r="A1562" s="634"/>
      <c r="B1562" s="406"/>
      <c r="C1562" s="539"/>
      <c r="D1562" s="318"/>
      <c r="E1562" s="352"/>
      <c r="F1562" s="302">
        <f t="shared" si="35"/>
        <v>0</v>
      </c>
    </row>
    <row r="1563" spans="1:6" s="571" customFormat="1">
      <c r="A1563" s="633">
        <v>37</v>
      </c>
      <c r="B1563" s="474" t="s">
        <v>1437</v>
      </c>
      <c r="C1563" s="539"/>
      <c r="D1563" s="318"/>
      <c r="E1563" s="352"/>
      <c r="F1563" s="302">
        <f t="shared" si="35"/>
        <v>0</v>
      </c>
    </row>
    <row r="1564" spans="1:6" s="571" customFormat="1" ht="25.5">
      <c r="A1564" s="634"/>
      <c r="B1564" s="406" t="s">
        <v>1435</v>
      </c>
      <c r="C1564" s="539"/>
      <c r="D1564" s="318"/>
      <c r="E1564" s="352"/>
      <c r="F1564" s="302">
        <f t="shared" si="35"/>
        <v>0</v>
      </c>
    </row>
    <row r="1565" spans="1:6" s="571" customFormat="1">
      <c r="A1565" s="634"/>
      <c r="B1565" s="406" t="s">
        <v>1436</v>
      </c>
      <c r="C1565" s="539"/>
      <c r="D1565" s="318"/>
      <c r="E1565" s="352"/>
      <c r="F1565" s="302">
        <f t="shared" si="35"/>
        <v>0</v>
      </c>
    </row>
    <row r="1566" spans="1:6" s="571" customFormat="1" ht="140.25">
      <c r="A1566" s="634"/>
      <c r="B1566" s="406" t="s">
        <v>1440</v>
      </c>
      <c r="C1566" s="539"/>
      <c r="D1566" s="318"/>
      <c r="E1566" s="352"/>
      <c r="F1566" s="302">
        <f t="shared" si="35"/>
        <v>0</v>
      </c>
    </row>
    <row r="1567" spans="1:6" s="571" customFormat="1">
      <c r="A1567" s="634"/>
      <c r="B1567" s="406" t="s">
        <v>28</v>
      </c>
      <c r="C1567" s="539" t="s">
        <v>27</v>
      </c>
      <c r="D1567" s="318">
        <v>12.7</v>
      </c>
      <c r="E1567" s="352"/>
      <c r="F1567" s="302">
        <f t="shared" si="35"/>
        <v>0</v>
      </c>
    </row>
    <row r="1568" spans="1:6" s="571" customFormat="1">
      <c r="A1568" s="634"/>
      <c r="B1568" s="406"/>
      <c r="C1568" s="539"/>
      <c r="D1568" s="318"/>
      <c r="E1568" s="352"/>
      <c r="F1568" s="302">
        <f t="shared" si="35"/>
        <v>0</v>
      </c>
    </row>
    <row r="1569" spans="1:7" s="571" customFormat="1">
      <c r="A1569" s="634"/>
      <c r="B1569" s="474" t="s">
        <v>1438</v>
      </c>
      <c r="C1569" s="539"/>
      <c r="D1569" s="318"/>
      <c r="E1569" s="352"/>
      <c r="F1569" s="302">
        <f t="shared" si="35"/>
        <v>0</v>
      </c>
    </row>
    <row r="1570" spans="1:7" s="571" customFormat="1">
      <c r="A1570" s="634"/>
      <c r="B1570" s="406"/>
      <c r="C1570" s="539"/>
      <c r="D1570" s="318"/>
      <c r="E1570" s="352"/>
      <c r="F1570" s="302">
        <f t="shared" si="35"/>
        <v>0</v>
      </c>
    </row>
    <row r="1571" spans="1:7" s="571" customFormat="1">
      <c r="A1571" s="633">
        <v>38</v>
      </c>
      <c r="B1571" s="474" t="s">
        <v>1889</v>
      </c>
      <c r="C1571" s="539"/>
      <c r="D1571" s="318"/>
      <c r="E1571" s="352"/>
      <c r="F1571" s="302">
        <f t="shared" si="35"/>
        <v>0</v>
      </c>
    </row>
    <row r="1572" spans="1:7" s="571" customFormat="1" ht="38.25">
      <c r="A1572" s="634"/>
      <c r="B1572" s="406" t="s">
        <v>1439</v>
      </c>
      <c r="C1572" s="539"/>
      <c r="D1572" s="318"/>
      <c r="E1572" s="352"/>
      <c r="F1572" s="302">
        <f t="shared" si="35"/>
        <v>0</v>
      </c>
    </row>
    <row r="1573" spans="1:7" s="571" customFormat="1" ht="102">
      <c r="A1573" s="634"/>
      <c r="B1573" s="406" t="s">
        <v>1441</v>
      </c>
      <c r="C1573" s="539"/>
      <c r="D1573" s="318"/>
      <c r="E1573" s="352"/>
      <c r="F1573" s="302">
        <f t="shared" si="35"/>
        <v>0</v>
      </c>
    </row>
    <row r="1574" spans="1:7" s="571" customFormat="1">
      <c r="A1574" s="634"/>
      <c r="B1574" s="406" t="s">
        <v>254</v>
      </c>
      <c r="C1574" s="539"/>
      <c r="D1574" s="318"/>
      <c r="E1574" s="352"/>
      <c r="F1574" s="302">
        <f t="shared" si="35"/>
        <v>0</v>
      </c>
    </row>
    <row r="1575" spans="1:7" s="571" customFormat="1">
      <c r="A1575" s="634"/>
      <c r="B1575" s="406" t="s">
        <v>1442</v>
      </c>
      <c r="C1575" s="539" t="s">
        <v>34</v>
      </c>
      <c r="D1575" s="318">
        <v>3</v>
      </c>
      <c r="E1575" s="352"/>
      <c r="F1575" s="302">
        <f t="shared" si="35"/>
        <v>0</v>
      </c>
    </row>
    <row r="1576" spans="1:7" s="571" customFormat="1">
      <c r="A1576" s="634"/>
      <c r="B1576" s="406" t="s">
        <v>1443</v>
      </c>
      <c r="C1576" s="539" t="s">
        <v>34</v>
      </c>
      <c r="D1576" s="318">
        <v>2</v>
      </c>
      <c r="E1576" s="352"/>
      <c r="F1576" s="302">
        <f t="shared" si="35"/>
        <v>0</v>
      </c>
    </row>
    <row r="1577" spans="1:7" s="571" customFormat="1">
      <c r="A1577" s="634"/>
      <c r="B1577" s="406"/>
      <c r="C1577" s="539"/>
      <c r="D1577" s="318"/>
      <c r="E1577" s="352"/>
      <c r="F1577" s="302">
        <f t="shared" si="35"/>
        <v>0</v>
      </c>
    </row>
    <row r="1578" spans="1:7" s="571" customFormat="1">
      <c r="A1578" s="633">
        <v>39</v>
      </c>
      <c r="B1578" s="474" t="s">
        <v>1888</v>
      </c>
      <c r="C1578" s="539"/>
      <c r="D1578" s="318"/>
      <c r="E1578" s="352"/>
      <c r="F1578" s="302">
        <f t="shared" si="35"/>
        <v>0</v>
      </c>
      <c r="G1578" s="308"/>
    </row>
    <row r="1579" spans="1:7" s="571" customFormat="1" ht="63.75">
      <c r="A1579" s="634"/>
      <c r="B1579" s="406" t="s">
        <v>1890</v>
      </c>
      <c r="C1579" s="539"/>
      <c r="D1579" s="318"/>
      <c r="E1579" s="352"/>
      <c r="F1579" s="302">
        <f t="shared" si="35"/>
        <v>0</v>
      </c>
    </row>
    <row r="1580" spans="1:7" s="571" customFormat="1" ht="109.5" customHeight="1">
      <c r="A1580" s="634"/>
      <c r="B1580" s="406" t="s">
        <v>2105</v>
      </c>
      <c r="C1580" s="539"/>
      <c r="D1580" s="318"/>
      <c r="E1580" s="352"/>
      <c r="F1580" s="302">
        <f t="shared" si="35"/>
        <v>0</v>
      </c>
    </row>
    <row r="1581" spans="1:7" s="571" customFormat="1">
      <c r="A1581" s="634"/>
      <c r="B1581" s="406" t="s">
        <v>179</v>
      </c>
      <c r="C1581" s="539"/>
      <c r="D1581" s="318"/>
      <c r="E1581" s="352"/>
      <c r="F1581" s="302">
        <f t="shared" si="35"/>
        <v>0</v>
      </c>
    </row>
    <row r="1582" spans="1:7" s="571" customFormat="1">
      <c r="A1582" s="634"/>
      <c r="B1582" s="406" t="s">
        <v>1891</v>
      </c>
      <c r="C1582" s="539" t="s">
        <v>34</v>
      </c>
      <c r="D1582" s="318">
        <v>7</v>
      </c>
      <c r="E1582" s="352"/>
      <c r="F1582" s="302">
        <f t="shared" si="35"/>
        <v>0</v>
      </c>
    </row>
    <row r="1583" spans="1:7" s="571" customFormat="1">
      <c r="A1583" s="634"/>
      <c r="B1583" s="406" t="s">
        <v>1958</v>
      </c>
      <c r="C1583" s="539" t="s">
        <v>34</v>
      </c>
      <c r="D1583" s="318">
        <v>7</v>
      </c>
      <c r="E1583" s="352"/>
      <c r="F1583" s="302">
        <f t="shared" si="35"/>
        <v>0</v>
      </c>
    </row>
    <row r="1584" spans="1:7" s="571" customFormat="1">
      <c r="A1584" s="634"/>
      <c r="B1584" s="406" t="s">
        <v>1959</v>
      </c>
      <c r="C1584" s="539" t="s">
        <v>34</v>
      </c>
      <c r="D1584" s="318">
        <v>13</v>
      </c>
      <c r="E1584" s="352"/>
      <c r="F1584" s="302">
        <f t="shared" si="35"/>
        <v>0</v>
      </c>
    </row>
    <row r="1585" spans="1:6" s="571" customFormat="1">
      <c r="A1585" s="634"/>
      <c r="B1585" s="406"/>
      <c r="C1585" s="539"/>
      <c r="D1585" s="318"/>
      <c r="E1585" s="352"/>
      <c r="F1585" s="302">
        <f t="shared" si="35"/>
        <v>0</v>
      </c>
    </row>
    <row r="1586" spans="1:6" s="571" customFormat="1">
      <c r="A1586" s="633">
        <v>40</v>
      </c>
      <c r="B1586" s="474" t="s">
        <v>2106</v>
      </c>
      <c r="C1586" s="539"/>
      <c r="D1586" s="318"/>
      <c r="E1586" s="352"/>
      <c r="F1586" s="302">
        <f t="shared" si="35"/>
        <v>0</v>
      </c>
    </row>
    <row r="1587" spans="1:6" s="571" customFormat="1" ht="94.5" customHeight="1">
      <c r="A1587" s="634"/>
      <c r="B1587" s="406" t="s">
        <v>5589</v>
      </c>
      <c r="C1587" s="539"/>
      <c r="D1587" s="318"/>
      <c r="E1587" s="352"/>
      <c r="F1587" s="302">
        <f t="shared" si="35"/>
        <v>0</v>
      </c>
    </row>
    <row r="1588" spans="1:6" s="571" customFormat="1">
      <c r="A1588" s="634"/>
      <c r="B1588" s="406" t="s">
        <v>128</v>
      </c>
      <c r="C1588" s="539" t="s">
        <v>26</v>
      </c>
      <c r="D1588" s="318">
        <v>115.3</v>
      </c>
      <c r="E1588" s="352"/>
      <c r="F1588" s="302">
        <f t="shared" si="35"/>
        <v>0</v>
      </c>
    </row>
    <row r="1589" spans="1:6" s="571" customFormat="1">
      <c r="A1589" s="634"/>
      <c r="B1589" s="406"/>
      <c r="C1589" s="539"/>
      <c r="D1589" s="318"/>
      <c r="E1589" s="352"/>
      <c r="F1589" s="302">
        <f t="shared" si="35"/>
        <v>0</v>
      </c>
    </row>
    <row r="1590" spans="1:6" s="571" customFormat="1">
      <c r="A1590" s="633">
        <v>41</v>
      </c>
      <c r="B1590" s="474" t="s">
        <v>5574</v>
      </c>
      <c r="C1590" s="539"/>
      <c r="D1590" s="318"/>
      <c r="E1590" s="352"/>
      <c r="F1590" s="302">
        <f t="shared" si="35"/>
        <v>0</v>
      </c>
    </row>
    <row r="1591" spans="1:6" s="571" customFormat="1">
      <c r="A1591" s="633"/>
      <c r="B1591" s="406" t="s">
        <v>5575</v>
      </c>
      <c r="C1591" s="1601"/>
      <c r="D1591" s="1602"/>
      <c r="E1591" s="352"/>
      <c r="F1591" s="302">
        <f t="shared" si="35"/>
        <v>0</v>
      </c>
    </row>
    <row r="1592" spans="1:6" s="571" customFormat="1" ht="38.25">
      <c r="A1592" s="633"/>
      <c r="B1592" s="406" t="s">
        <v>5576</v>
      </c>
      <c r="C1592" s="539"/>
      <c r="D1592" s="318"/>
      <c r="E1592" s="352"/>
      <c r="F1592" s="302">
        <f t="shared" si="35"/>
        <v>0</v>
      </c>
    </row>
    <row r="1593" spans="1:6" s="571" customFormat="1" ht="76.5">
      <c r="A1593" s="633"/>
      <c r="B1593" s="406" t="s">
        <v>5577</v>
      </c>
      <c r="C1593" s="539"/>
      <c r="D1593" s="318"/>
      <c r="E1593" s="352"/>
      <c r="F1593" s="302">
        <f t="shared" si="35"/>
        <v>0</v>
      </c>
    </row>
    <row r="1594" spans="1:6" s="571" customFormat="1" ht="63.75">
      <c r="A1594" s="633"/>
      <c r="B1594" s="406" t="s">
        <v>5578</v>
      </c>
      <c r="C1594" s="539"/>
      <c r="D1594" s="318"/>
      <c r="E1594" s="352"/>
      <c r="F1594" s="302">
        <f t="shared" si="35"/>
        <v>0</v>
      </c>
    </row>
    <row r="1595" spans="1:6" s="571" customFormat="1">
      <c r="A1595" s="633"/>
      <c r="B1595" s="406" t="s">
        <v>5579</v>
      </c>
      <c r="C1595" s="539"/>
      <c r="D1595" s="318"/>
      <c r="E1595" s="352"/>
      <c r="F1595" s="302">
        <f t="shared" si="35"/>
        <v>0</v>
      </c>
    </row>
    <row r="1596" spans="1:6" s="571" customFormat="1">
      <c r="A1596" s="633"/>
      <c r="B1596" s="406" t="s">
        <v>5580</v>
      </c>
      <c r="C1596" s="539" t="s">
        <v>34</v>
      </c>
      <c r="D1596" s="318">
        <v>1</v>
      </c>
      <c r="E1596" s="352"/>
      <c r="F1596" s="302">
        <f t="shared" si="35"/>
        <v>0</v>
      </c>
    </row>
    <row r="1597" spans="1:6" s="571" customFormat="1">
      <c r="A1597" s="633"/>
      <c r="B1597" s="406" t="s">
        <v>5581</v>
      </c>
      <c r="C1597" s="539" t="s">
        <v>34</v>
      </c>
      <c r="D1597" s="318">
        <v>2</v>
      </c>
      <c r="E1597" s="352"/>
      <c r="F1597" s="302">
        <f t="shared" si="35"/>
        <v>0</v>
      </c>
    </row>
    <row r="1598" spans="1:6" s="571" customFormat="1">
      <c r="A1598" s="633"/>
      <c r="B1598" s="406" t="s">
        <v>5582</v>
      </c>
      <c r="C1598" s="539" t="s">
        <v>34</v>
      </c>
      <c r="D1598" s="318">
        <v>3</v>
      </c>
      <c r="E1598" s="352"/>
      <c r="F1598" s="302">
        <f t="shared" si="35"/>
        <v>0</v>
      </c>
    </row>
    <row r="1599" spans="1:6" s="571" customFormat="1">
      <c r="A1599" s="633"/>
      <c r="B1599" s="406" t="s">
        <v>5583</v>
      </c>
      <c r="C1599" s="539" t="s">
        <v>34</v>
      </c>
      <c r="D1599" s="318">
        <v>1</v>
      </c>
      <c r="E1599" s="352"/>
      <c r="F1599" s="302">
        <f t="shared" si="35"/>
        <v>0</v>
      </c>
    </row>
    <row r="1600" spans="1:6" s="571" customFormat="1">
      <c r="A1600" s="633"/>
      <c r="B1600" s="406" t="s">
        <v>5584</v>
      </c>
      <c r="C1600" s="539" t="s">
        <v>34</v>
      </c>
      <c r="D1600" s="318">
        <v>1</v>
      </c>
      <c r="E1600" s="352"/>
      <c r="F1600" s="302">
        <f t="shared" si="35"/>
        <v>0</v>
      </c>
    </row>
    <row r="1601" spans="1:6" s="571" customFormat="1">
      <c r="A1601" s="633"/>
      <c r="B1601" s="406" t="s">
        <v>5585</v>
      </c>
      <c r="C1601" s="539" t="s">
        <v>34</v>
      </c>
      <c r="D1601" s="318">
        <v>1</v>
      </c>
      <c r="E1601" s="352"/>
      <c r="F1601" s="302">
        <f t="shared" si="35"/>
        <v>0</v>
      </c>
    </row>
    <row r="1602" spans="1:6" s="571" customFormat="1">
      <c r="A1602" s="633"/>
      <c r="B1602" s="406" t="s">
        <v>5586</v>
      </c>
      <c r="C1602" s="539"/>
      <c r="D1602" s="318"/>
      <c r="E1602" s="352"/>
      <c r="F1602" s="302">
        <f t="shared" si="35"/>
        <v>0</v>
      </c>
    </row>
    <row r="1603" spans="1:6" s="571" customFormat="1">
      <c r="A1603" s="633"/>
      <c r="B1603" s="406" t="s">
        <v>5587</v>
      </c>
      <c r="C1603" s="539" t="s">
        <v>34</v>
      </c>
      <c r="D1603" s="318">
        <v>1</v>
      </c>
      <c r="E1603" s="352"/>
      <c r="F1603" s="302">
        <f t="shared" si="35"/>
        <v>0</v>
      </c>
    </row>
    <row r="1604" spans="1:6" s="571" customFormat="1">
      <c r="A1604" s="633"/>
      <c r="B1604" s="406" t="s">
        <v>5588</v>
      </c>
      <c r="C1604" s="539" t="s">
        <v>34</v>
      </c>
      <c r="D1604" s="318">
        <v>1</v>
      </c>
      <c r="E1604" s="352"/>
      <c r="F1604" s="302">
        <f t="shared" si="35"/>
        <v>0</v>
      </c>
    </row>
    <row r="1605" spans="1:6" s="571" customFormat="1">
      <c r="A1605" s="633"/>
      <c r="B1605" s="406"/>
      <c r="C1605" s="539"/>
      <c r="D1605" s="318"/>
      <c r="E1605" s="352"/>
      <c r="F1605" s="302"/>
    </row>
    <row r="1606" spans="1:6" s="570" customFormat="1">
      <c r="A1606" s="289" t="s">
        <v>111</v>
      </c>
      <c r="B1606" s="290" t="s">
        <v>109</v>
      </c>
      <c r="C1606" s="534"/>
      <c r="D1606" s="535"/>
      <c r="E1606" s="654"/>
      <c r="F1606" s="536">
        <f>SUM(F1066:F1605)</f>
        <v>0</v>
      </c>
    </row>
    <row r="1607" spans="1:6" s="571" customFormat="1">
      <c r="A1607" s="540"/>
      <c r="B1607" s="483"/>
      <c r="C1607" s="544"/>
      <c r="D1607" s="316"/>
      <c r="E1607" s="352"/>
      <c r="F1607" s="307"/>
    </row>
    <row r="1608" spans="1:6" s="641" customFormat="1">
      <c r="A1608" s="484" t="s">
        <v>239</v>
      </c>
      <c r="B1608" s="638" t="s">
        <v>1390</v>
      </c>
      <c r="C1608" s="638"/>
      <c r="D1608" s="639"/>
      <c r="E1608" s="662"/>
      <c r="F1608" s="640"/>
    </row>
    <row r="1609" spans="1:6" s="641" customFormat="1">
      <c r="A1609" s="642"/>
      <c r="B1609" s="643"/>
      <c r="C1609" s="644"/>
      <c r="D1609" s="645"/>
      <c r="E1609" s="663"/>
      <c r="F1609" s="646"/>
    </row>
    <row r="1610" spans="1:6" s="641" customFormat="1">
      <c r="A1610" s="647">
        <v>1</v>
      </c>
      <c r="B1610" s="648" t="s">
        <v>1397</v>
      </c>
      <c r="C1610" s="649"/>
      <c r="D1610" s="645"/>
      <c r="E1610" s="663"/>
      <c r="F1610" s="646"/>
    </row>
    <row r="1611" spans="1:6" s="641" customFormat="1" ht="114.75">
      <c r="A1611" s="642"/>
      <c r="B1611" s="498" t="s">
        <v>1965</v>
      </c>
      <c r="C1611" s="649"/>
      <c r="D1611" s="645"/>
      <c r="E1611" s="663"/>
      <c r="F1611" s="646"/>
    </row>
    <row r="1612" spans="1:6" s="641" customFormat="1">
      <c r="A1612" s="642"/>
      <c r="B1612" s="498" t="s">
        <v>1398</v>
      </c>
      <c r="C1612" s="649"/>
      <c r="D1612" s="494"/>
      <c r="E1612" s="663"/>
      <c r="F1612" s="646"/>
    </row>
    <row r="1613" spans="1:6" s="641" customFormat="1">
      <c r="A1613" s="642"/>
      <c r="B1613" s="650" t="s">
        <v>1391</v>
      </c>
      <c r="C1613" s="649" t="s">
        <v>27</v>
      </c>
      <c r="D1613" s="494">
        <v>618</v>
      </c>
      <c r="E1613" s="524"/>
      <c r="F1613" s="651">
        <f>D1613*E1613</f>
        <v>0</v>
      </c>
    </row>
    <row r="1614" spans="1:6" s="641" customFormat="1">
      <c r="A1614" s="642"/>
      <c r="B1614" s="652" t="s">
        <v>1392</v>
      </c>
      <c r="C1614" s="649"/>
      <c r="D1614" s="494"/>
      <c r="E1614" s="524"/>
      <c r="F1614" s="651">
        <f t="shared" ref="F1614:F1626" si="36">D1614*E1614</f>
        <v>0</v>
      </c>
    </row>
    <row r="1615" spans="1:6" s="641" customFormat="1">
      <c r="A1615" s="642"/>
      <c r="B1615" s="650" t="s">
        <v>1393</v>
      </c>
      <c r="C1615" s="649" t="s">
        <v>34</v>
      </c>
      <c r="D1615" s="494">
        <v>1000</v>
      </c>
      <c r="E1615" s="524"/>
      <c r="F1615" s="651">
        <f t="shared" si="36"/>
        <v>0</v>
      </c>
    </row>
    <row r="1616" spans="1:6" s="641" customFormat="1">
      <c r="A1616" s="642"/>
      <c r="B1616" s="650" t="s">
        <v>1394</v>
      </c>
      <c r="C1616" s="649" t="s">
        <v>26</v>
      </c>
      <c r="D1616" s="494">
        <v>33.700000000000003</v>
      </c>
      <c r="E1616" s="524"/>
      <c r="F1616" s="651">
        <f t="shared" si="36"/>
        <v>0</v>
      </c>
    </row>
    <row r="1617" spans="1:6" s="641" customFormat="1">
      <c r="A1617" s="642"/>
      <c r="B1617" s="650" t="s">
        <v>1395</v>
      </c>
      <c r="C1617" s="649" t="s">
        <v>34</v>
      </c>
      <c r="D1617" s="494">
        <v>100</v>
      </c>
      <c r="E1617" s="524"/>
      <c r="F1617" s="651">
        <f t="shared" si="36"/>
        <v>0</v>
      </c>
    </row>
    <row r="1618" spans="1:6" s="641" customFormat="1">
      <c r="A1618" s="642"/>
      <c r="B1618" s="643"/>
      <c r="C1618" s="649"/>
      <c r="D1618" s="494"/>
      <c r="E1618" s="524"/>
      <c r="F1618" s="651">
        <f t="shared" si="36"/>
        <v>0</v>
      </c>
    </row>
    <row r="1619" spans="1:6" s="641" customFormat="1">
      <c r="A1619" s="647">
        <v>2</v>
      </c>
      <c r="B1619" s="648" t="s">
        <v>1406</v>
      </c>
      <c r="C1619" s="649"/>
      <c r="D1619" s="645"/>
      <c r="E1619" s="663"/>
      <c r="F1619" s="651">
        <f t="shared" si="36"/>
        <v>0</v>
      </c>
    </row>
    <row r="1620" spans="1:6" s="641" customFormat="1" ht="63.75">
      <c r="A1620" s="642"/>
      <c r="B1620" s="498" t="s">
        <v>1966</v>
      </c>
      <c r="C1620" s="649"/>
      <c r="D1620" s="645"/>
      <c r="E1620" s="663"/>
      <c r="F1620" s="651">
        <f t="shared" si="36"/>
        <v>0</v>
      </c>
    </row>
    <row r="1621" spans="1:6" s="641" customFormat="1" ht="25.5">
      <c r="A1621" s="642"/>
      <c r="B1621" s="498" t="s">
        <v>1409</v>
      </c>
      <c r="C1621" s="649"/>
      <c r="D1621" s="645"/>
      <c r="E1621" s="663"/>
      <c r="F1621" s="651">
        <f t="shared" si="36"/>
        <v>0</v>
      </c>
    </row>
    <row r="1622" spans="1:6" s="641" customFormat="1">
      <c r="A1622" s="642"/>
      <c r="B1622" s="498" t="s">
        <v>1554</v>
      </c>
      <c r="C1622" s="649"/>
      <c r="D1622" s="494"/>
      <c r="E1622" s="663"/>
      <c r="F1622" s="651">
        <f t="shared" si="36"/>
        <v>0</v>
      </c>
    </row>
    <row r="1623" spans="1:6" s="641" customFormat="1">
      <c r="A1623" s="642"/>
      <c r="B1623" s="650" t="s">
        <v>1391</v>
      </c>
      <c r="C1623" s="649"/>
      <c r="D1623" s="494"/>
      <c r="E1623" s="524"/>
      <c r="F1623" s="651">
        <f t="shared" si="36"/>
        <v>0</v>
      </c>
    </row>
    <row r="1624" spans="1:6" s="641" customFormat="1">
      <c r="A1624" s="642"/>
      <c r="B1624" s="650" t="s">
        <v>1407</v>
      </c>
      <c r="C1624" s="649" t="s">
        <v>27</v>
      </c>
      <c r="D1624" s="494">
        <f>46.4+66.3+29.6</f>
        <v>142.30000000000001</v>
      </c>
      <c r="E1624" s="524"/>
      <c r="F1624" s="651">
        <f t="shared" si="36"/>
        <v>0</v>
      </c>
    </row>
    <row r="1625" spans="1:6" s="641" customFormat="1">
      <c r="A1625" s="642"/>
      <c r="B1625" s="650" t="s">
        <v>1408</v>
      </c>
      <c r="C1625" s="649" t="s">
        <v>27</v>
      </c>
      <c r="D1625" s="494">
        <f>46.4+66.3+29.6</f>
        <v>142.30000000000001</v>
      </c>
      <c r="E1625" s="524"/>
      <c r="F1625" s="651">
        <f t="shared" si="36"/>
        <v>0</v>
      </c>
    </row>
    <row r="1626" spans="1:6" s="641" customFormat="1">
      <c r="A1626" s="642"/>
      <c r="B1626" s="643"/>
      <c r="C1626" s="649"/>
      <c r="D1626" s="494"/>
      <c r="E1626" s="524"/>
      <c r="F1626" s="651">
        <f t="shared" si="36"/>
        <v>0</v>
      </c>
    </row>
    <row r="1627" spans="1:6" s="641" customFormat="1">
      <c r="A1627" s="484" t="s">
        <v>239</v>
      </c>
      <c r="B1627" s="638" t="s">
        <v>1396</v>
      </c>
      <c r="C1627" s="638"/>
      <c r="D1627" s="639"/>
      <c r="E1627" s="662"/>
      <c r="F1627" s="640">
        <f>SUM(F1612:F1625)</f>
        <v>0</v>
      </c>
    </row>
    <row r="1628" spans="1:6" s="570" customFormat="1">
      <c r="A1628" s="284"/>
      <c r="B1628" s="406"/>
      <c r="C1628" s="285"/>
      <c r="D1628" s="318"/>
      <c r="E1628" s="45"/>
      <c r="F1628" s="302"/>
    </row>
    <row r="1629" spans="1:6" s="278" customFormat="1">
      <c r="A1629" s="506" t="s">
        <v>108</v>
      </c>
      <c r="B1629" s="507" t="s">
        <v>122</v>
      </c>
      <c r="C1629" s="653"/>
      <c r="D1629" s="509"/>
      <c r="E1629" s="526"/>
      <c r="F1629" s="510"/>
    </row>
    <row r="1630" spans="1:6" s="570" customFormat="1">
      <c r="A1630" s="284"/>
      <c r="B1630" s="406"/>
      <c r="C1630" s="539"/>
      <c r="D1630" s="318"/>
      <c r="E1630" s="45"/>
      <c r="F1630" s="302"/>
    </row>
    <row r="1631" spans="1:6" s="278" customFormat="1">
      <c r="A1631" s="289" t="s">
        <v>121</v>
      </c>
      <c r="B1631" s="290" t="s">
        <v>120</v>
      </c>
      <c r="C1631" s="534"/>
      <c r="D1631" s="535"/>
      <c r="E1631" s="654"/>
      <c r="F1631" s="536">
        <f>F272</f>
        <v>0</v>
      </c>
    </row>
    <row r="1632" spans="1:6" s="278" customFormat="1">
      <c r="A1632" s="289" t="s">
        <v>119</v>
      </c>
      <c r="B1632" s="290" t="s">
        <v>118</v>
      </c>
      <c r="C1632" s="534"/>
      <c r="D1632" s="535"/>
      <c r="E1632" s="654"/>
      <c r="F1632" s="536">
        <f>F455</f>
        <v>0</v>
      </c>
    </row>
    <row r="1633" spans="1:6" s="278" customFormat="1">
      <c r="A1633" s="289" t="s">
        <v>117</v>
      </c>
      <c r="B1633" s="290" t="str">
        <f>B548</f>
        <v>KERAMIČARSKI RADOVI UKUPNO</v>
      </c>
      <c r="C1633" s="534"/>
      <c r="D1633" s="535"/>
      <c r="E1633" s="654"/>
      <c r="F1633" s="536">
        <f>F548</f>
        <v>0</v>
      </c>
    </row>
    <row r="1634" spans="1:6" s="278" customFormat="1">
      <c r="A1634" s="289" t="s">
        <v>116</v>
      </c>
      <c r="B1634" s="290" t="s">
        <v>114</v>
      </c>
      <c r="C1634" s="534"/>
      <c r="D1634" s="535"/>
      <c r="E1634" s="654"/>
      <c r="F1634" s="536">
        <f>F587</f>
        <v>0</v>
      </c>
    </row>
    <row r="1635" spans="1:6" s="278" customFormat="1">
      <c r="A1635" s="289" t="s">
        <v>115</v>
      </c>
      <c r="B1635" s="290" t="s">
        <v>112</v>
      </c>
      <c r="C1635" s="534"/>
      <c r="D1635" s="535"/>
      <c r="E1635" s="654"/>
      <c r="F1635" s="536">
        <f>F671</f>
        <v>0</v>
      </c>
    </row>
    <row r="1636" spans="1:6" s="570" customFormat="1">
      <c r="A1636" s="289" t="s">
        <v>113</v>
      </c>
      <c r="B1636" s="290" t="s">
        <v>110</v>
      </c>
      <c r="C1636" s="534"/>
      <c r="D1636" s="535"/>
      <c r="E1636" s="654"/>
      <c r="F1636" s="536">
        <f>F1062</f>
        <v>0</v>
      </c>
    </row>
    <row r="1637" spans="1:6" s="570" customFormat="1">
      <c r="A1637" s="289" t="s">
        <v>111</v>
      </c>
      <c r="B1637" s="290" t="s">
        <v>109</v>
      </c>
      <c r="C1637" s="534"/>
      <c r="D1637" s="535"/>
      <c r="E1637" s="654"/>
      <c r="F1637" s="536">
        <f>F1606</f>
        <v>0</v>
      </c>
    </row>
    <row r="1638" spans="1:6" s="570" customFormat="1">
      <c r="A1638" s="289" t="s">
        <v>239</v>
      </c>
      <c r="B1638" s="290" t="s">
        <v>1396</v>
      </c>
      <c r="C1638" s="534"/>
      <c r="D1638" s="535"/>
      <c r="E1638" s="654"/>
      <c r="F1638" s="536">
        <f>F1627</f>
        <v>0</v>
      </c>
    </row>
    <row r="1639" spans="1:6" s="570" customFormat="1">
      <c r="A1639" s="284"/>
      <c r="B1639" s="406"/>
      <c r="C1639" s="539"/>
      <c r="D1639" s="318"/>
      <c r="E1639" s="45"/>
      <c r="F1639" s="302"/>
    </row>
    <row r="1640" spans="1:6" s="570" customFormat="1">
      <c r="A1640" s="506" t="s">
        <v>108</v>
      </c>
      <c r="B1640" s="507" t="s">
        <v>107</v>
      </c>
      <c r="C1640" s="653"/>
      <c r="D1640" s="509"/>
      <c r="E1640" s="526"/>
      <c r="F1640" s="510">
        <f>SUM(F1631:F1638)</f>
        <v>0</v>
      </c>
    </row>
    <row r="1641" spans="1:6" s="570" customFormat="1">
      <c r="A1641" s="284"/>
      <c r="B1641" s="406"/>
      <c r="C1641" s="539"/>
      <c r="D1641" s="318"/>
      <c r="E1641" s="45"/>
      <c r="F1641" s="302"/>
    </row>
    <row r="1642" spans="1:6" s="571" customFormat="1">
      <c r="A1642" s="540"/>
      <c r="B1642" s="541"/>
      <c r="C1642" s="542"/>
      <c r="D1642" s="543"/>
      <c r="E1642" s="655"/>
      <c r="F1642" s="566"/>
    </row>
    <row r="1643" spans="1:6" s="571" customFormat="1">
      <c r="A1643" s="540"/>
      <c r="B1643" s="541"/>
      <c r="C1643" s="542"/>
      <c r="D1643" s="543"/>
      <c r="E1643" s="655"/>
      <c r="F1643" s="566"/>
    </row>
    <row r="1644" spans="1:6" s="571" customFormat="1">
      <c r="A1644" s="540"/>
      <c r="B1644" s="541"/>
      <c r="C1644" s="542"/>
      <c r="D1644" s="543"/>
      <c r="E1644" s="655"/>
      <c r="F1644" s="566"/>
    </row>
    <row r="1645" spans="1:6" s="571" customFormat="1">
      <c r="A1645" s="540"/>
      <c r="B1645" s="541"/>
      <c r="C1645" s="542"/>
      <c r="D1645" s="543"/>
      <c r="E1645" s="655"/>
      <c r="F1645" s="566"/>
    </row>
    <row r="1646" spans="1:6" s="571" customFormat="1">
      <c r="A1646" s="344"/>
      <c r="B1646" s="315"/>
      <c r="C1646" s="575"/>
      <c r="D1646" s="316"/>
      <c r="E1646" s="352"/>
      <c r="F1646" s="345"/>
    </row>
    <row r="1647" spans="1:6" s="571" customFormat="1">
      <c r="A1647" s="344"/>
      <c r="B1647" s="315"/>
      <c r="C1647" s="575"/>
      <c r="D1647" s="316"/>
      <c r="E1647" s="352"/>
      <c r="F1647" s="345"/>
    </row>
    <row r="1648" spans="1:6" s="571" customFormat="1">
      <c r="A1648" s="344"/>
      <c r="B1648" s="315"/>
      <c r="C1648" s="575"/>
      <c r="D1648" s="316"/>
      <c r="E1648" s="352"/>
      <c r="F1648" s="345"/>
    </row>
    <row r="1649" spans="1:6" s="571" customFormat="1">
      <c r="A1649" s="344"/>
      <c r="B1649" s="315"/>
      <c r="C1649" s="575"/>
      <c r="D1649" s="316"/>
      <c r="E1649" s="352"/>
      <c r="F1649" s="345"/>
    </row>
    <row r="1650" spans="1:6" s="571" customFormat="1">
      <c r="A1650" s="344"/>
      <c r="B1650" s="315"/>
      <c r="C1650" s="575"/>
      <c r="D1650" s="316"/>
      <c r="E1650" s="352"/>
      <c r="F1650" s="345"/>
    </row>
    <row r="1651" spans="1:6" s="571" customFormat="1">
      <c r="A1651" s="344"/>
      <c r="B1651" s="315"/>
      <c r="C1651" s="575"/>
      <c r="D1651" s="316"/>
      <c r="E1651" s="352"/>
      <c r="F1651" s="345"/>
    </row>
    <row r="1652" spans="1:6" s="571" customFormat="1">
      <c r="A1652" s="344"/>
      <c r="B1652" s="315"/>
      <c r="C1652" s="575"/>
      <c r="D1652" s="316"/>
      <c r="E1652" s="352"/>
      <c r="F1652" s="345"/>
    </row>
    <row r="1653" spans="1:6" s="571" customFormat="1">
      <c r="A1653" s="344"/>
      <c r="B1653" s="315"/>
      <c r="C1653" s="575"/>
      <c r="D1653" s="316"/>
      <c r="E1653" s="352"/>
      <c r="F1653" s="345"/>
    </row>
    <row r="1654" spans="1:6" s="571" customFormat="1">
      <c r="A1654" s="344"/>
      <c r="B1654" s="315"/>
      <c r="C1654" s="575"/>
      <c r="D1654" s="316"/>
      <c r="E1654" s="352"/>
      <c r="F1654" s="345"/>
    </row>
    <row r="1655" spans="1:6" s="571" customFormat="1">
      <c r="A1655" s="344"/>
      <c r="B1655" s="315"/>
      <c r="C1655" s="575"/>
      <c r="D1655" s="316"/>
      <c r="E1655" s="352"/>
      <c r="F1655" s="345"/>
    </row>
    <row r="1656" spans="1:6" s="571" customFormat="1">
      <c r="A1656" s="344"/>
      <c r="B1656" s="315"/>
      <c r="C1656" s="575"/>
      <c r="D1656" s="316"/>
      <c r="E1656" s="352"/>
      <c r="F1656" s="345"/>
    </row>
    <row r="1657" spans="1:6" s="571" customFormat="1">
      <c r="A1657" s="344"/>
      <c r="B1657" s="315"/>
      <c r="C1657" s="575"/>
      <c r="D1657" s="316"/>
      <c r="E1657" s="352"/>
      <c r="F1657" s="345"/>
    </row>
    <row r="1658" spans="1:6" s="571" customFormat="1">
      <c r="A1658" s="344"/>
      <c r="B1658" s="315"/>
      <c r="C1658" s="575"/>
      <c r="D1658" s="316"/>
      <c r="E1658" s="352"/>
      <c r="F1658" s="345"/>
    </row>
    <row r="1659" spans="1:6" s="571" customFormat="1">
      <c r="A1659" s="344"/>
      <c r="B1659" s="315"/>
      <c r="C1659" s="575"/>
      <c r="D1659" s="316"/>
      <c r="E1659" s="352"/>
      <c r="F1659" s="345"/>
    </row>
    <row r="1660" spans="1:6" s="571" customFormat="1">
      <c r="A1660" s="344"/>
      <c r="B1660" s="315"/>
      <c r="C1660" s="575"/>
      <c r="D1660" s="316"/>
      <c r="E1660" s="352"/>
      <c r="F1660" s="345"/>
    </row>
    <row r="1661" spans="1:6" s="571" customFormat="1">
      <c r="A1661" s="344"/>
      <c r="B1661" s="315"/>
      <c r="C1661" s="575"/>
      <c r="D1661" s="316"/>
      <c r="E1661" s="352"/>
      <c r="F1661" s="345"/>
    </row>
    <row r="1662" spans="1:6" s="571" customFormat="1">
      <c r="A1662" s="344"/>
      <c r="B1662" s="315"/>
      <c r="C1662" s="575"/>
      <c r="D1662" s="316"/>
      <c r="E1662" s="352"/>
      <c r="F1662" s="345"/>
    </row>
    <row r="1663" spans="1:6" s="571" customFormat="1">
      <c r="A1663" s="344"/>
      <c r="B1663" s="315"/>
      <c r="C1663" s="575"/>
      <c r="D1663" s="316"/>
      <c r="E1663" s="352"/>
      <c r="F1663" s="345"/>
    </row>
    <row r="1664" spans="1:6" s="571" customFormat="1">
      <c r="A1664" s="344"/>
      <c r="B1664" s="315"/>
      <c r="C1664" s="575"/>
      <c r="D1664" s="316"/>
      <c r="E1664" s="352"/>
      <c r="F1664" s="345"/>
    </row>
    <row r="1665" spans="1:6" s="571" customFormat="1">
      <c r="A1665" s="344"/>
      <c r="B1665" s="315"/>
      <c r="C1665" s="575"/>
      <c r="D1665" s="316"/>
      <c r="E1665" s="352"/>
      <c r="F1665" s="345"/>
    </row>
    <row r="1666" spans="1:6" s="571" customFormat="1">
      <c r="A1666" s="344"/>
      <c r="B1666" s="315"/>
      <c r="C1666" s="575"/>
      <c r="D1666" s="316"/>
      <c r="E1666" s="352"/>
      <c r="F1666" s="345"/>
    </row>
    <row r="1667" spans="1:6" s="571" customFormat="1">
      <c r="A1667" s="344"/>
      <c r="B1667" s="315"/>
      <c r="C1667" s="575"/>
      <c r="D1667" s="316"/>
      <c r="E1667" s="352"/>
      <c r="F1667" s="345"/>
    </row>
    <row r="1668" spans="1:6" s="571" customFormat="1">
      <c r="A1668" s="344"/>
      <c r="B1668" s="315"/>
      <c r="C1668" s="575"/>
      <c r="D1668" s="316"/>
      <c r="E1668" s="352"/>
      <c r="F1668" s="345"/>
    </row>
    <row r="1669" spans="1:6" s="571" customFormat="1">
      <c r="A1669" s="344"/>
      <c r="B1669" s="315"/>
      <c r="C1669" s="575"/>
      <c r="D1669" s="316"/>
      <c r="E1669" s="352"/>
      <c r="F1669" s="345"/>
    </row>
    <row r="1670" spans="1:6" s="571" customFormat="1">
      <c r="A1670" s="344"/>
      <c r="B1670" s="315"/>
      <c r="C1670" s="575"/>
      <c r="D1670" s="316"/>
      <c r="E1670" s="352"/>
      <c r="F1670" s="345"/>
    </row>
    <row r="1671" spans="1:6" s="571" customFormat="1">
      <c r="A1671" s="344"/>
      <c r="B1671" s="315"/>
      <c r="C1671" s="575"/>
      <c r="D1671" s="316"/>
      <c r="E1671" s="352"/>
      <c r="F1671" s="345"/>
    </row>
    <row r="1672" spans="1:6" s="571" customFormat="1">
      <c r="A1672" s="344"/>
      <c r="B1672" s="315"/>
      <c r="C1672" s="575"/>
      <c r="D1672" s="316"/>
      <c r="E1672" s="352"/>
      <c r="F1672" s="345"/>
    </row>
    <row r="1673" spans="1:6" s="571" customFormat="1">
      <c r="A1673" s="344"/>
      <c r="B1673" s="315"/>
      <c r="C1673" s="575"/>
      <c r="D1673" s="316"/>
      <c r="E1673" s="352"/>
      <c r="F1673" s="345"/>
    </row>
    <row r="1674" spans="1:6" s="571" customFormat="1">
      <c r="A1674" s="344"/>
      <c r="B1674" s="315"/>
      <c r="C1674" s="575"/>
      <c r="D1674" s="316"/>
      <c r="E1674" s="352"/>
      <c r="F1674" s="345"/>
    </row>
    <row r="1675" spans="1:6" s="571" customFormat="1">
      <c r="A1675" s="344"/>
      <c r="B1675" s="315"/>
      <c r="C1675" s="575"/>
      <c r="D1675" s="316"/>
      <c r="E1675" s="352"/>
      <c r="F1675" s="345"/>
    </row>
    <row r="1676" spans="1:6" s="571" customFormat="1">
      <c r="A1676" s="344"/>
      <c r="B1676" s="315"/>
      <c r="C1676" s="575"/>
      <c r="D1676" s="316"/>
      <c r="E1676" s="352"/>
      <c r="F1676" s="345"/>
    </row>
    <row r="1677" spans="1:6" s="571" customFormat="1">
      <c r="A1677" s="344"/>
      <c r="B1677" s="315"/>
      <c r="C1677" s="575"/>
      <c r="D1677" s="316"/>
      <c r="E1677" s="352"/>
      <c r="F1677" s="345"/>
    </row>
    <row r="1678" spans="1:6" s="571" customFormat="1">
      <c r="A1678" s="344"/>
      <c r="B1678" s="315"/>
      <c r="C1678" s="575"/>
      <c r="D1678" s="316"/>
      <c r="E1678" s="352"/>
      <c r="F1678" s="345"/>
    </row>
    <row r="1679" spans="1:6" s="571" customFormat="1">
      <c r="A1679" s="344"/>
      <c r="B1679" s="315"/>
      <c r="C1679" s="575"/>
      <c r="D1679" s="316"/>
      <c r="E1679" s="352"/>
      <c r="F1679" s="345"/>
    </row>
    <row r="1680" spans="1:6" s="571" customFormat="1">
      <c r="A1680" s="344"/>
      <c r="B1680" s="315"/>
      <c r="C1680" s="575"/>
      <c r="D1680" s="316"/>
      <c r="E1680" s="352"/>
      <c r="F1680" s="345"/>
    </row>
    <row r="1681" spans="1:6" s="571" customFormat="1">
      <c r="A1681" s="344"/>
      <c r="B1681" s="315"/>
      <c r="C1681" s="575"/>
      <c r="D1681" s="316"/>
      <c r="E1681" s="352"/>
      <c r="F1681" s="345"/>
    </row>
    <row r="1682" spans="1:6" s="571" customFormat="1">
      <c r="A1682" s="344"/>
      <c r="B1682" s="315"/>
      <c r="C1682" s="575"/>
      <c r="D1682" s="316"/>
      <c r="E1682" s="352"/>
      <c r="F1682" s="345"/>
    </row>
    <row r="1683" spans="1:6" s="571" customFormat="1">
      <c r="A1683" s="344"/>
      <c r="B1683" s="315"/>
      <c r="C1683" s="575"/>
      <c r="D1683" s="316"/>
      <c r="E1683" s="352"/>
      <c r="F1683" s="345"/>
    </row>
    <row r="1684" spans="1:6" s="571" customFormat="1">
      <c r="A1684" s="344"/>
      <c r="B1684" s="315"/>
      <c r="C1684" s="575"/>
      <c r="D1684" s="316"/>
      <c r="E1684" s="352"/>
      <c r="F1684" s="345"/>
    </row>
    <row r="1685" spans="1:6" s="571" customFormat="1">
      <c r="A1685" s="344"/>
      <c r="B1685" s="315"/>
      <c r="C1685" s="575"/>
      <c r="D1685" s="316"/>
      <c r="E1685" s="352"/>
      <c r="F1685" s="345"/>
    </row>
    <row r="1686" spans="1:6" s="571" customFormat="1">
      <c r="A1686" s="344"/>
      <c r="B1686" s="315"/>
      <c r="C1686" s="575"/>
      <c r="D1686" s="316"/>
      <c r="E1686" s="352"/>
      <c r="F1686" s="345"/>
    </row>
    <row r="1687" spans="1:6" s="571" customFormat="1">
      <c r="A1687" s="344"/>
      <c r="B1687" s="315"/>
      <c r="C1687" s="575"/>
      <c r="D1687" s="316"/>
      <c r="E1687" s="352"/>
      <c r="F1687" s="345"/>
    </row>
    <row r="1688" spans="1:6" s="571" customFormat="1">
      <c r="A1688" s="344"/>
      <c r="B1688" s="315"/>
      <c r="C1688" s="575"/>
      <c r="D1688" s="316"/>
      <c r="E1688" s="352"/>
      <c r="F1688" s="345"/>
    </row>
    <row r="1689" spans="1:6" s="571" customFormat="1">
      <c r="A1689" s="344"/>
      <c r="B1689" s="315"/>
      <c r="C1689" s="575"/>
      <c r="D1689" s="316"/>
      <c r="E1689" s="352"/>
      <c r="F1689" s="345"/>
    </row>
    <row r="1690" spans="1:6" s="571" customFormat="1">
      <c r="A1690" s="344"/>
      <c r="B1690" s="315"/>
      <c r="C1690" s="575"/>
      <c r="D1690" s="316"/>
      <c r="E1690" s="352"/>
      <c r="F1690" s="345"/>
    </row>
    <row r="1691" spans="1:6" s="571" customFormat="1">
      <c r="A1691" s="344"/>
      <c r="B1691" s="315"/>
      <c r="C1691" s="575"/>
      <c r="D1691" s="316"/>
      <c r="E1691" s="352"/>
      <c r="F1691" s="345"/>
    </row>
    <row r="1692" spans="1:6" s="571" customFormat="1">
      <c r="A1692" s="344"/>
      <c r="B1692" s="315"/>
      <c r="C1692" s="575"/>
      <c r="D1692" s="316"/>
      <c r="E1692" s="352"/>
      <c r="F1692" s="345"/>
    </row>
    <row r="1693" spans="1:6" s="571" customFormat="1">
      <c r="A1693" s="344"/>
      <c r="B1693" s="315"/>
      <c r="C1693" s="575"/>
      <c r="D1693" s="316"/>
      <c r="E1693" s="352"/>
      <c r="F1693" s="345"/>
    </row>
    <row r="1694" spans="1:6" s="571" customFormat="1">
      <c r="A1694" s="344"/>
      <c r="B1694" s="315"/>
      <c r="C1694" s="575"/>
      <c r="D1694" s="316"/>
      <c r="E1694" s="352"/>
      <c r="F1694" s="345"/>
    </row>
    <row r="1695" spans="1:6" s="571" customFormat="1">
      <c r="A1695" s="344"/>
      <c r="B1695" s="315"/>
      <c r="C1695" s="575"/>
      <c r="D1695" s="316"/>
      <c r="E1695" s="352"/>
      <c r="F1695" s="345"/>
    </row>
    <row r="1696" spans="1:6" s="571" customFormat="1">
      <c r="A1696" s="344"/>
      <c r="B1696" s="315"/>
      <c r="C1696" s="575"/>
      <c r="D1696" s="316"/>
      <c r="E1696" s="352"/>
      <c r="F1696" s="345"/>
    </row>
    <row r="1697" spans="1:6" s="571" customFormat="1">
      <c r="A1697" s="344"/>
      <c r="B1697" s="315"/>
      <c r="C1697" s="575"/>
      <c r="D1697" s="316"/>
      <c r="E1697" s="352"/>
      <c r="F1697" s="345"/>
    </row>
    <row r="1698" spans="1:6" s="571" customFormat="1">
      <c r="A1698" s="344"/>
      <c r="B1698" s="315"/>
      <c r="C1698" s="575"/>
      <c r="D1698" s="316"/>
      <c r="E1698" s="352"/>
      <c r="F1698" s="345"/>
    </row>
    <row r="1699" spans="1:6" s="571" customFormat="1">
      <c r="A1699" s="344"/>
      <c r="B1699" s="315"/>
      <c r="C1699" s="575"/>
      <c r="D1699" s="316"/>
      <c r="E1699" s="352"/>
      <c r="F1699" s="345"/>
    </row>
    <row r="1700" spans="1:6" s="571" customFormat="1">
      <c r="A1700" s="344"/>
      <c r="B1700" s="315"/>
      <c r="C1700" s="575"/>
      <c r="D1700" s="316"/>
      <c r="E1700" s="352"/>
      <c r="F1700" s="345"/>
    </row>
    <row r="1701" spans="1:6" s="571" customFormat="1">
      <c r="A1701" s="344"/>
      <c r="B1701" s="315"/>
      <c r="C1701" s="575"/>
      <c r="D1701" s="316"/>
      <c r="E1701" s="352"/>
      <c r="F1701" s="345"/>
    </row>
    <row r="1702" spans="1:6" s="571" customFormat="1">
      <c r="A1702" s="344"/>
      <c r="B1702" s="315"/>
      <c r="C1702" s="575"/>
      <c r="D1702" s="316"/>
      <c r="E1702" s="352"/>
      <c r="F1702" s="345"/>
    </row>
    <row r="1703" spans="1:6" s="571" customFormat="1">
      <c r="A1703" s="344"/>
      <c r="B1703" s="315"/>
      <c r="C1703" s="575"/>
      <c r="D1703" s="316"/>
      <c r="E1703" s="352"/>
      <c r="F1703" s="345"/>
    </row>
  </sheetData>
  <sheetProtection password="C891" sheet="1" objects="1" scenarios="1"/>
  <phoneticPr fontId="30" type="noConversion"/>
  <pageMargins left="0.70866141732283472" right="0.70866141732283472" top="0.74803149606299213" bottom="0.74803149606299213" header="0.31496062992125984" footer="0.31496062992125984"/>
  <pageSetup paperSize="9" scale="78" orientation="portrait" r:id="rId1"/>
  <headerFooter>
    <oddHeader xml:space="preserve">&amp;L&amp;10Investitor: Hrvatski institut za povijest&amp;C&amp;10Troškovnik - građevinskih i obrtničkih 
radova&amp;R&amp;10datum:
lipanj 2025.
</oddHeader>
    <oddFooter>&amp;C&amp;10Građevina:
Palača bogoštovlja i nastave&amp;R&amp;10str.: &amp;P od &amp;N</oddFooter>
  </headerFooter>
  <rowBreaks count="2" manualBreakCount="2">
    <brk id="587" max="16383" man="1"/>
    <brk id="106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F391"/>
  <sheetViews>
    <sheetView showZeros="0" zoomScaleNormal="100" zoomScaleSheetLayoutView="100" zoomScalePageLayoutView="85" workbookViewId="0">
      <selection activeCell="D8" sqref="D8"/>
    </sheetView>
  </sheetViews>
  <sheetFormatPr defaultRowHeight="12.75"/>
  <cols>
    <col min="1" max="1" width="9.5703125" style="723" customWidth="1"/>
    <col min="2" max="2" width="46.28515625" style="717" customWidth="1"/>
    <col min="3" max="3" width="6.5703125" style="684" customWidth="1"/>
    <col min="4" max="4" width="8.7109375" style="685" customWidth="1"/>
    <col min="5" max="5" width="12.140625" style="738" customWidth="1"/>
    <col min="6" max="6" width="13.85546875" style="724" customWidth="1"/>
    <col min="7" max="7" width="15.7109375" style="8" customWidth="1"/>
    <col min="8" max="256" width="9.140625" style="8"/>
    <col min="257" max="257" width="6.7109375" style="8" customWidth="1"/>
    <col min="258" max="258" width="46.28515625" style="8" customWidth="1"/>
    <col min="259" max="259" width="6.5703125" style="8" customWidth="1"/>
    <col min="260" max="260" width="8.7109375" style="8" customWidth="1"/>
    <col min="261" max="261" width="12.140625" style="8" customWidth="1"/>
    <col min="262" max="262" width="13.85546875" style="8" customWidth="1"/>
    <col min="263" max="263" width="15.7109375" style="8" customWidth="1"/>
    <col min="264" max="512" width="9.140625" style="8"/>
    <col min="513" max="513" width="6.7109375" style="8" customWidth="1"/>
    <col min="514" max="514" width="46.28515625" style="8" customWidth="1"/>
    <col min="515" max="515" width="6.5703125" style="8" customWidth="1"/>
    <col min="516" max="516" width="8.7109375" style="8" customWidth="1"/>
    <col min="517" max="517" width="12.140625" style="8" customWidth="1"/>
    <col min="518" max="518" width="13.85546875" style="8" customWidth="1"/>
    <col min="519" max="519" width="15.7109375" style="8" customWidth="1"/>
    <col min="520" max="768" width="9.140625" style="8"/>
    <col min="769" max="769" width="6.7109375" style="8" customWidth="1"/>
    <col min="770" max="770" width="46.28515625" style="8" customWidth="1"/>
    <col min="771" max="771" width="6.5703125" style="8" customWidth="1"/>
    <col min="772" max="772" width="8.7109375" style="8" customWidth="1"/>
    <col min="773" max="773" width="12.140625" style="8" customWidth="1"/>
    <col min="774" max="774" width="13.85546875" style="8" customWidth="1"/>
    <col min="775" max="775" width="15.7109375" style="8" customWidth="1"/>
    <col min="776" max="1024" width="9.140625" style="8"/>
    <col min="1025" max="1025" width="6.7109375" style="8" customWidth="1"/>
    <col min="1026" max="1026" width="46.28515625" style="8" customWidth="1"/>
    <col min="1027" max="1027" width="6.5703125" style="8" customWidth="1"/>
    <col min="1028" max="1028" width="8.7109375" style="8" customWidth="1"/>
    <col min="1029" max="1029" width="12.140625" style="8" customWidth="1"/>
    <col min="1030" max="1030" width="13.85546875" style="8" customWidth="1"/>
    <col min="1031" max="1031" width="15.7109375" style="8" customWidth="1"/>
    <col min="1032" max="1280" width="9.140625" style="8"/>
    <col min="1281" max="1281" width="6.7109375" style="8" customWidth="1"/>
    <col min="1282" max="1282" width="46.28515625" style="8" customWidth="1"/>
    <col min="1283" max="1283" width="6.5703125" style="8" customWidth="1"/>
    <col min="1284" max="1284" width="8.7109375" style="8" customWidth="1"/>
    <col min="1285" max="1285" width="12.140625" style="8" customWidth="1"/>
    <col min="1286" max="1286" width="13.85546875" style="8" customWidth="1"/>
    <col min="1287" max="1287" width="15.7109375" style="8" customWidth="1"/>
    <col min="1288" max="1536" width="9.140625" style="8"/>
    <col min="1537" max="1537" width="6.7109375" style="8" customWidth="1"/>
    <col min="1538" max="1538" width="46.28515625" style="8" customWidth="1"/>
    <col min="1539" max="1539" width="6.5703125" style="8" customWidth="1"/>
    <col min="1540" max="1540" width="8.7109375" style="8" customWidth="1"/>
    <col min="1541" max="1541" width="12.140625" style="8" customWidth="1"/>
    <col min="1542" max="1542" width="13.85546875" style="8" customWidth="1"/>
    <col min="1543" max="1543" width="15.7109375" style="8" customWidth="1"/>
    <col min="1544" max="1792" width="9.140625" style="8"/>
    <col min="1793" max="1793" width="6.7109375" style="8" customWidth="1"/>
    <col min="1794" max="1794" width="46.28515625" style="8" customWidth="1"/>
    <col min="1795" max="1795" width="6.5703125" style="8" customWidth="1"/>
    <col min="1796" max="1796" width="8.7109375" style="8" customWidth="1"/>
    <col min="1797" max="1797" width="12.140625" style="8" customWidth="1"/>
    <col min="1798" max="1798" width="13.85546875" style="8" customWidth="1"/>
    <col min="1799" max="1799" width="15.7109375" style="8" customWidth="1"/>
    <col min="1800" max="2048" width="9.140625" style="8"/>
    <col min="2049" max="2049" width="6.7109375" style="8" customWidth="1"/>
    <col min="2050" max="2050" width="46.28515625" style="8" customWidth="1"/>
    <col min="2051" max="2051" width="6.5703125" style="8" customWidth="1"/>
    <col min="2052" max="2052" width="8.7109375" style="8" customWidth="1"/>
    <col min="2053" max="2053" width="12.140625" style="8" customWidth="1"/>
    <col min="2054" max="2054" width="13.85546875" style="8" customWidth="1"/>
    <col min="2055" max="2055" width="15.7109375" style="8" customWidth="1"/>
    <col min="2056" max="2304" width="9.140625" style="8"/>
    <col min="2305" max="2305" width="6.7109375" style="8" customWidth="1"/>
    <col min="2306" max="2306" width="46.28515625" style="8" customWidth="1"/>
    <col min="2307" max="2307" width="6.5703125" style="8" customWidth="1"/>
    <col min="2308" max="2308" width="8.7109375" style="8" customWidth="1"/>
    <col min="2309" max="2309" width="12.140625" style="8" customWidth="1"/>
    <col min="2310" max="2310" width="13.85546875" style="8" customWidth="1"/>
    <col min="2311" max="2311" width="15.7109375" style="8" customWidth="1"/>
    <col min="2312" max="2560" width="9.140625" style="8"/>
    <col min="2561" max="2561" width="6.7109375" style="8" customWidth="1"/>
    <col min="2562" max="2562" width="46.28515625" style="8" customWidth="1"/>
    <col min="2563" max="2563" width="6.5703125" style="8" customWidth="1"/>
    <col min="2564" max="2564" width="8.7109375" style="8" customWidth="1"/>
    <col min="2565" max="2565" width="12.140625" style="8" customWidth="1"/>
    <col min="2566" max="2566" width="13.85546875" style="8" customWidth="1"/>
    <col min="2567" max="2567" width="15.7109375" style="8" customWidth="1"/>
    <col min="2568" max="2816" width="9.140625" style="8"/>
    <col min="2817" max="2817" width="6.7109375" style="8" customWidth="1"/>
    <col min="2818" max="2818" width="46.28515625" style="8" customWidth="1"/>
    <col min="2819" max="2819" width="6.5703125" style="8" customWidth="1"/>
    <col min="2820" max="2820" width="8.7109375" style="8" customWidth="1"/>
    <col min="2821" max="2821" width="12.140625" style="8" customWidth="1"/>
    <col min="2822" max="2822" width="13.85546875" style="8" customWidth="1"/>
    <col min="2823" max="2823" width="15.7109375" style="8" customWidth="1"/>
    <col min="2824" max="3072" width="9.140625" style="8"/>
    <col min="3073" max="3073" width="6.7109375" style="8" customWidth="1"/>
    <col min="3074" max="3074" width="46.28515625" style="8" customWidth="1"/>
    <col min="3075" max="3075" width="6.5703125" style="8" customWidth="1"/>
    <col min="3076" max="3076" width="8.7109375" style="8" customWidth="1"/>
    <col min="3077" max="3077" width="12.140625" style="8" customWidth="1"/>
    <col min="3078" max="3078" width="13.85546875" style="8" customWidth="1"/>
    <col min="3079" max="3079" width="15.7109375" style="8" customWidth="1"/>
    <col min="3080" max="3328" width="9.140625" style="8"/>
    <col min="3329" max="3329" width="6.7109375" style="8" customWidth="1"/>
    <col min="3330" max="3330" width="46.28515625" style="8" customWidth="1"/>
    <col min="3331" max="3331" width="6.5703125" style="8" customWidth="1"/>
    <col min="3332" max="3332" width="8.7109375" style="8" customWidth="1"/>
    <col min="3333" max="3333" width="12.140625" style="8" customWidth="1"/>
    <col min="3334" max="3334" width="13.85546875" style="8" customWidth="1"/>
    <col min="3335" max="3335" width="15.7109375" style="8" customWidth="1"/>
    <col min="3336" max="3584" width="9.140625" style="8"/>
    <col min="3585" max="3585" width="6.7109375" style="8" customWidth="1"/>
    <col min="3586" max="3586" width="46.28515625" style="8" customWidth="1"/>
    <col min="3587" max="3587" width="6.5703125" style="8" customWidth="1"/>
    <col min="3588" max="3588" width="8.7109375" style="8" customWidth="1"/>
    <col min="3589" max="3589" width="12.140625" style="8" customWidth="1"/>
    <col min="3590" max="3590" width="13.85546875" style="8" customWidth="1"/>
    <col min="3591" max="3591" width="15.7109375" style="8" customWidth="1"/>
    <col min="3592" max="3840" width="9.140625" style="8"/>
    <col min="3841" max="3841" width="6.7109375" style="8" customWidth="1"/>
    <col min="3842" max="3842" width="46.28515625" style="8" customWidth="1"/>
    <col min="3843" max="3843" width="6.5703125" style="8" customWidth="1"/>
    <col min="3844" max="3844" width="8.7109375" style="8" customWidth="1"/>
    <col min="3845" max="3845" width="12.140625" style="8" customWidth="1"/>
    <col min="3846" max="3846" width="13.85546875" style="8" customWidth="1"/>
    <col min="3847" max="3847" width="15.7109375" style="8" customWidth="1"/>
    <col min="3848" max="4096" width="9.140625" style="8"/>
    <col min="4097" max="4097" width="6.7109375" style="8" customWidth="1"/>
    <col min="4098" max="4098" width="46.28515625" style="8" customWidth="1"/>
    <col min="4099" max="4099" width="6.5703125" style="8" customWidth="1"/>
    <col min="4100" max="4100" width="8.7109375" style="8" customWidth="1"/>
    <col min="4101" max="4101" width="12.140625" style="8" customWidth="1"/>
    <col min="4102" max="4102" width="13.85546875" style="8" customWidth="1"/>
    <col min="4103" max="4103" width="15.7109375" style="8" customWidth="1"/>
    <col min="4104" max="4352" width="9.140625" style="8"/>
    <col min="4353" max="4353" width="6.7109375" style="8" customWidth="1"/>
    <col min="4354" max="4354" width="46.28515625" style="8" customWidth="1"/>
    <col min="4355" max="4355" width="6.5703125" style="8" customWidth="1"/>
    <col min="4356" max="4356" width="8.7109375" style="8" customWidth="1"/>
    <col min="4357" max="4357" width="12.140625" style="8" customWidth="1"/>
    <col min="4358" max="4358" width="13.85546875" style="8" customWidth="1"/>
    <col min="4359" max="4359" width="15.7109375" style="8" customWidth="1"/>
    <col min="4360" max="4608" width="9.140625" style="8"/>
    <col min="4609" max="4609" width="6.7109375" style="8" customWidth="1"/>
    <col min="4610" max="4610" width="46.28515625" style="8" customWidth="1"/>
    <col min="4611" max="4611" width="6.5703125" style="8" customWidth="1"/>
    <col min="4612" max="4612" width="8.7109375" style="8" customWidth="1"/>
    <col min="4613" max="4613" width="12.140625" style="8" customWidth="1"/>
    <col min="4614" max="4614" width="13.85546875" style="8" customWidth="1"/>
    <col min="4615" max="4615" width="15.7109375" style="8" customWidth="1"/>
    <col min="4616" max="4864" width="9.140625" style="8"/>
    <col min="4865" max="4865" width="6.7109375" style="8" customWidth="1"/>
    <col min="4866" max="4866" width="46.28515625" style="8" customWidth="1"/>
    <col min="4867" max="4867" width="6.5703125" style="8" customWidth="1"/>
    <col min="4868" max="4868" width="8.7109375" style="8" customWidth="1"/>
    <col min="4869" max="4869" width="12.140625" style="8" customWidth="1"/>
    <col min="4870" max="4870" width="13.85546875" style="8" customWidth="1"/>
    <col min="4871" max="4871" width="15.7109375" style="8" customWidth="1"/>
    <col min="4872" max="5120" width="9.140625" style="8"/>
    <col min="5121" max="5121" width="6.7109375" style="8" customWidth="1"/>
    <col min="5122" max="5122" width="46.28515625" style="8" customWidth="1"/>
    <col min="5123" max="5123" width="6.5703125" style="8" customWidth="1"/>
    <col min="5124" max="5124" width="8.7109375" style="8" customWidth="1"/>
    <col min="5125" max="5125" width="12.140625" style="8" customWidth="1"/>
    <col min="5126" max="5126" width="13.85546875" style="8" customWidth="1"/>
    <col min="5127" max="5127" width="15.7109375" style="8" customWidth="1"/>
    <col min="5128" max="5376" width="9.140625" style="8"/>
    <col min="5377" max="5377" width="6.7109375" style="8" customWidth="1"/>
    <col min="5378" max="5378" width="46.28515625" style="8" customWidth="1"/>
    <col min="5379" max="5379" width="6.5703125" style="8" customWidth="1"/>
    <col min="5380" max="5380" width="8.7109375" style="8" customWidth="1"/>
    <col min="5381" max="5381" width="12.140625" style="8" customWidth="1"/>
    <col min="5382" max="5382" width="13.85546875" style="8" customWidth="1"/>
    <col min="5383" max="5383" width="15.7109375" style="8" customWidth="1"/>
    <col min="5384" max="5632" width="9.140625" style="8"/>
    <col min="5633" max="5633" width="6.7109375" style="8" customWidth="1"/>
    <col min="5634" max="5634" width="46.28515625" style="8" customWidth="1"/>
    <col min="5635" max="5635" width="6.5703125" style="8" customWidth="1"/>
    <col min="5636" max="5636" width="8.7109375" style="8" customWidth="1"/>
    <col min="5637" max="5637" width="12.140625" style="8" customWidth="1"/>
    <col min="5638" max="5638" width="13.85546875" style="8" customWidth="1"/>
    <col min="5639" max="5639" width="15.7109375" style="8" customWidth="1"/>
    <col min="5640" max="5888" width="9.140625" style="8"/>
    <col min="5889" max="5889" width="6.7109375" style="8" customWidth="1"/>
    <col min="5890" max="5890" width="46.28515625" style="8" customWidth="1"/>
    <col min="5891" max="5891" width="6.5703125" style="8" customWidth="1"/>
    <col min="5892" max="5892" width="8.7109375" style="8" customWidth="1"/>
    <col min="5893" max="5893" width="12.140625" style="8" customWidth="1"/>
    <col min="5894" max="5894" width="13.85546875" style="8" customWidth="1"/>
    <col min="5895" max="5895" width="15.7109375" style="8" customWidth="1"/>
    <col min="5896" max="6144" width="9.140625" style="8"/>
    <col min="6145" max="6145" width="6.7109375" style="8" customWidth="1"/>
    <col min="6146" max="6146" width="46.28515625" style="8" customWidth="1"/>
    <col min="6147" max="6147" width="6.5703125" style="8" customWidth="1"/>
    <col min="6148" max="6148" width="8.7109375" style="8" customWidth="1"/>
    <col min="6149" max="6149" width="12.140625" style="8" customWidth="1"/>
    <col min="6150" max="6150" width="13.85546875" style="8" customWidth="1"/>
    <col min="6151" max="6151" width="15.7109375" style="8" customWidth="1"/>
    <col min="6152" max="6400" width="9.140625" style="8"/>
    <col min="6401" max="6401" width="6.7109375" style="8" customWidth="1"/>
    <col min="6402" max="6402" width="46.28515625" style="8" customWidth="1"/>
    <col min="6403" max="6403" width="6.5703125" style="8" customWidth="1"/>
    <col min="6404" max="6404" width="8.7109375" style="8" customWidth="1"/>
    <col min="6405" max="6405" width="12.140625" style="8" customWidth="1"/>
    <col min="6406" max="6406" width="13.85546875" style="8" customWidth="1"/>
    <col min="6407" max="6407" width="15.7109375" style="8" customWidth="1"/>
    <col min="6408" max="6656" width="9.140625" style="8"/>
    <col min="6657" max="6657" width="6.7109375" style="8" customWidth="1"/>
    <col min="6658" max="6658" width="46.28515625" style="8" customWidth="1"/>
    <col min="6659" max="6659" width="6.5703125" style="8" customWidth="1"/>
    <col min="6660" max="6660" width="8.7109375" style="8" customWidth="1"/>
    <col min="6661" max="6661" width="12.140625" style="8" customWidth="1"/>
    <col min="6662" max="6662" width="13.85546875" style="8" customWidth="1"/>
    <col min="6663" max="6663" width="15.7109375" style="8" customWidth="1"/>
    <col min="6664" max="6912" width="9.140625" style="8"/>
    <col min="6913" max="6913" width="6.7109375" style="8" customWidth="1"/>
    <col min="6914" max="6914" width="46.28515625" style="8" customWidth="1"/>
    <col min="6915" max="6915" width="6.5703125" style="8" customWidth="1"/>
    <col min="6916" max="6916" width="8.7109375" style="8" customWidth="1"/>
    <col min="6917" max="6917" width="12.140625" style="8" customWidth="1"/>
    <col min="6918" max="6918" width="13.85546875" style="8" customWidth="1"/>
    <col min="6919" max="6919" width="15.7109375" style="8" customWidth="1"/>
    <col min="6920" max="7168" width="9.140625" style="8"/>
    <col min="7169" max="7169" width="6.7109375" style="8" customWidth="1"/>
    <col min="7170" max="7170" width="46.28515625" style="8" customWidth="1"/>
    <col min="7171" max="7171" width="6.5703125" style="8" customWidth="1"/>
    <col min="7172" max="7172" width="8.7109375" style="8" customWidth="1"/>
    <col min="7173" max="7173" width="12.140625" style="8" customWidth="1"/>
    <col min="7174" max="7174" width="13.85546875" style="8" customWidth="1"/>
    <col min="7175" max="7175" width="15.7109375" style="8" customWidth="1"/>
    <col min="7176" max="7424" width="9.140625" style="8"/>
    <col min="7425" max="7425" width="6.7109375" style="8" customWidth="1"/>
    <col min="7426" max="7426" width="46.28515625" style="8" customWidth="1"/>
    <col min="7427" max="7427" width="6.5703125" style="8" customWidth="1"/>
    <col min="7428" max="7428" width="8.7109375" style="8" customWidth="1"/>
    <col min="7429" max="7429" width="12.140625" style="8" customWidth="1"/>
    <col min="7430" max="7430" width="13.85546875" style="8" customWidth="1"/>
    <col min="7431" max="7431" width="15.7109375" style="8" customWidth="1"/>
    <col min="7432" max="7680" width="9.140625" style="8"/>
    <col min="7681" max="7681" width="6.7109375" style="8" customWidth="1"/>
    <col min="7682" max="7682" width="46.28515625" style="8" customWidth="1"/>
    <col min="7683" max="7683" width="6.5703125" style="8" customWidth="1"/>
    <col min="7684" max="7684" width="8.7109375" style="8" customWidth="1"/>
    <col min="7685" max="7685" width="12.140625" style="8" customWidth="1"/>
    <col min="7686" max="7686" width="13.85546875" style="8" customWidth="1"/>
    <col min="7687" max="7687" width="15.7109375" style="8" customWidth="1"/>
    <col min="7688" max="7936" width="9.140625" style="8"/>
    <col min="7937" max="7937" width="6.7109375" style="8" customWidth="1"/>
    <col min="7938" max="7938" width="46.28515625" style="8" customWidth="1"/>
    <col min="7939" max="7939" width="6.5703125" style="8" customWidth="1"/>
    <col min="7940" max="7940" width="8.7109375" style="8" customWidth="1"/>
    <col min="7941" max="7941" width="12.140625" style="8" customWidth="1"/>
    <col min="7942" max="7942" width="13.85546875" style="8" customWidth="1"/>
    <col min="7943" max="7943" width="15.7109375" style="8" customWidth="1"/>
    <col min="7944" max="8192" width="9.140625" style="8"/>
    <col min="8193" max="8193" width="6.7109375" style="8" customWidth="1"/>
    <col min="8194" max="8194" width="46.28515625" style="8" customWidth="1"/>
    <col min="8195" max="8195" width="6.5703125" style="8" customWidth="1"/>
    <col min="8196" max="8196" width="8.7109375" style="8" customWidth="1"/>
    <col min="8197" max="8197" width="12.140625" style="8" customWidth="1"/>
    <col min="8198" max="8198" width="13.85546875" style="8" customWidth="1"/>
    <col min="8199" max="8199" width="15.7109375" style="8" customWidth="1"/>
    <col min="8200" max="8448" width="9.140625" style="8"/>
    <col min="8449" max="8449" width="6.7109375" style="8" customWidth="1"/>
    <col min="8450" max="8450" width="46.28515625" style="8" customWidth="1"/>
    <col min="8451" max="8451" width="6.5703125" style="8" customWidth="1"/>
    <col min="8452" max="8452" width="8.7109375" style="8" customWidth="1"/>
    <col min="8453" max="8453" width="12.140625" style="8" customWidth="1"/>
    <col min="8454" max="8454" width="13.85546875" style="8" customWidth="1"/>
    <col min="8455" max="8455" width="15.7109375" style="8" customWidth="1"/>
    <col min="8456" max="8704" width="9.140625" style="8"/>
    <col min="8705" max="8705" width="6.7109375" style="8" customWidth="1"/>
    <col min="8706" max="8706" width="46.28515625" style="8" customWidth="1"/>
    <col min="8707" max="8707" width="6.5703125" style="8" customWidth="1"/>
    <col min="8708" max="8708" width="8.7109375" style="8" customWidth="1"/>
    <col min="8709" max="8709" width="12.140625" style="8" customWidth="1"/>
    <col min="8710" max="8710" width="13.85546875" style="8" customWidth="1"/>
    <col min="8711" max="8711" width="15.7109375" style="8" customWidth="1"/>
    <col min="8712" max="8960" width="9.140625" style="8"/>
    <col min="8961" max="8961" width="6.7109375" style="8" customWidth="1"/>
    <col min="8962" max="8962" width="46.28515625" style="8" customWidth="1"/>
    <col min="8963" max="8963" width="6.5703125" style="8" customWidth="1"/>
    <col min="8964" max="8964" width="8.7109375" style="8" customWidth="1"/>
    <col min="8965" max="8965" width="12.140625" style="8" customWidth="1"/>
    <col min="8966" max="8966" width="13.85546875" style="8" customWidth="1"/>
    <col min="8967" max="8967" width="15.7109375" style="8" customWidth="1"/>
    <col min="8968" max="9216" width="9.140625" style="8"/>
    <col min="9217" max="9217" width="6.7109375" style="8" customWidth="1"/>
    <col min="9218" max="9218" width="46.28515625" style="8" customWidth="1"/>
    <col min="9219" max="9219" width="6.5703125" style="8" customWidth="1"/>
    <col min="9220" max="9220" width="8.7109375" style="8" customWidth="1"/>
    <col min="9221" max="9221" width="12.140625" style="8" customWidth="1"/>
    <col min="9222" max="9222" width="13.85546875" style="8" customWidth="1"/>
    <col min="9223" max="9223" width="15.7109375" style="8" customWidth="1"/>
    <col min="9224" max="9472" width="9.140625" style="8"/>
    <col min="9473" max="9473" width="6.7109375" style="8" customWidth="1"/>
    <col min="9474" max="9474" width="46.28515625" style="8" customWidth="1"/>
    <col min="9475" max="9475" width="6.5703125" style="8" customWidth="1"/>
    <col min="9476" max="9476" width="8.7109375" style="8" customWidth="1"/>
    <col min="9477" max="9477" width="12.140625" style="8" customWidth="1"/>
    <col min="9478" max="9478" width="13.85546875" style="8" customWidth="1"/>
    <col min="9479" max="9479" width="15.7109375" style="8" customWidth="1"/>
    <col min="9480" max="9728" width="9.140625" style="8"/>
    <col min="9729" max="9729" width="6.7109375" style="8" customWidth="1"/>
    <col min="9730" max="9730" width="46.28515625" style="8" customWidth="1"/>
    <col min="9731" max="9731" width="6.5703125" style="8" customWidth="1"/>
    <col min="9732" max="9732" width="8.7109375" style="8" customWidth="1"/>
    <col min="9733" max="9733" width="12.140625" style="8" customWidth="1"/>
    <col min="9734" max="9734" width="13.85546875" style="8" customWidth="1"/>
    <col min="9735" max="9735" width="15.7109375" style="8" customWidth="1"/>
    <col min="9736" max="9984" width="9.140625" style="8"/>
    <col min="9985" max="9985" width="6.7109375" style="8" customWidth="1"/>
    <col min="9986" max="9986" width="46.28515625" style="8" customWidth="1"/>
    <col min="9987" max="9987" width="6.5703125" style="8" customWidth="1"/>
    <col min="9988" max="9988" width="8.7109375" style="8" customWidth="1"/>
    <col min="9989" max="9989" width="12.140625" style="8" customWidth="1"/>
    <col min="9990" max="9990" width="13.85546875" style="8" customWidth="1"/>
    <col min="9991" max="9991" width="15.7109375" style="8" customWidth="1"/>
    <col min="9992" max="10240" width="9.140625" style="8"/>
    <col min="10241" max="10241" width="6.7109375" style="8" customWidth="1"/>
    <col min="10242" max="10242" width="46.28515625" style="8" customWidth="1"/>
    <col min="10243" max="10243" width="6.5703125" style="8" customWidth="1"/>
    <col min="10244" max="10244" width="8.7109375" style="8" customWidth="1"/>
    <col min="10245" max="10245" width="12.140625" style="8" customWidth="1"/>
    <col min="10246" max="10246" width="13.85546875" style="8" customWidth="1"/>
    <col min="10247" max="10247" width="15.7109375" style="8" customWidth="1"/>
    <col min="10248" max="10496" width="9.140625" style="8"/>
    <col min="10497" max="10497" width="6.7109375" style="8" customWidth="1"/>
    <col min="10498" max="10498" width="46.28515625" style="8" customWidth="1"/>
    <col min="10499" max="10499" width="6.5703125" style="8" customWidth="1"/>
    <col min="10500" max="10500" width="8.7109375" style="8" customWidth="1"/>
    <col min="10501" max="10501" width="12.140625" style="8" customWidth="1"/>
    <col min="10502" max="10502" width="13.85546875" style="8" customWidth="1"/>
    <col min="10503" max="10503" width="15.7109375" style="8" customWidth="1"/>
    <col min="10504" max="10752" width="9.140625" style="8"/>
    <col min="10753" max="10753" width="6.7109375" style="8" customWidth="1"/>
    <col min="10754" max="10754" width="46.28515625" style="8" customWidth="1"/>
    <col min="10755" max="10755" width="6.5703125" style="8" customWidth="1"/>
    <col min="10756" max="10756" width="8.7109375" style="8" customWidth="1"/>
    <col min="10757" max="10757" width="12.140625" style="8" customWidth="1"/>
    <col min="10758" max="10758" width="13.85546875" style="8" customWidth="1"/>
    <col min="10759" max="10759" width="15.7109375" style="8" customWidth="1"/>
    <col min="10760" max="11008" width="9.140625" style="8"/>
    <col min="11009" max="11009" width="6.7109375" style="8" customWidth="1"/>
    <col min="11010" max="11010" width="46.28515625" style="8" customWidth="1"/>
    <col min="11011" max="11011" width="6.5703125" style="8" customWidth="1"/>
    <col min="11012" max="11012" width="8.7109375" style="8" customWidth="1"/>
    <col min="11013" max="11013" width="12.140625" style="8" customWidth="1"/>
    <col min="11014" max="11014" width="13.85546875" style="8" customWidth="1"/>
    <col min="11015" max="11015" width="15.7109375" style="8" customWidth="1"/>
    <col min="11016" max="11264" width="9.140625" style="8"/>
    <col min="11265" max="11265" width="6.7109375" style="8" customWidth="1"/>
    <col min="11266" max="11266" width="46.28515625" style="8" customWidth="1"/>
    <col min="11267" max="11267" width="6.5703125" style="8" customWidth="1"/>
    <col min="11268" max="11268" width="8.7109375" style="8" customWidth="1"/>
    <col min="11269" max="11269" width="12.140625" style="8" customWidth="1"/>
    <col min="11270" max="11270" width="13.85546875" style="8" customWidth="1"/>
    <col min="11271" max="11271" width="15.7109375" style="8" customWidth="1"/>
    <col min="11272" max="11520" width="9.140625" style="8"/>
    <col min="11521" max="11521" width="6.7109375" style="8" customWidth="1"/>
    <col min="11522" max="11522" width="46.28515625" style="8" customWidth="1"/>
    <col min="11523" max="11523" width="6.5703125" style="8" customWidth="1"/>
    <col min="11524" max="11524" width="8.7109375" style="8" customWidth="1"/>
    <col min="11525" max="11525" width="12.140625" style="8" customWidth="1"/>
    <col min="11526" max="11526" width="13.85546875" style="8" customWidth="1"/>
    <col min="11527" max="11527" width="15.7109375" style="8" customWidth="1"/>
    <col min="11528" max="11776" width="9.140625" style="8"/>
    <col min="11777" max="11777" width="6.7109375" style="8" customWidth="1"/>
    <col min="11778" max="11778" width="46.28515625" style="8" customWidth="1"/>
    <col min="11779" max="11779" width="6.5703125" style="8" customWidth="1"/>
    <col min="11780" max="11780" width="8.7109375" style="8" customWidth="1"/>
    <col min="11781" max="11781" width="12.140625" style="8" customWidth="1"/>
    <col min="11782" max="11782" width="13.85546875" style="8" customWidth="1"/>
    <col min="11783" max="11783" width="15.7109375" style="8" customWidth="1"/>
    <col min="11784" max="12032" width="9.140625" style="8"/>
    <col min="12033" max="12033" width="6.7109375" style="8" customWidth="1"/>
    <col min="12034" max="12034" width="46.28515625" style="8" customWidth="1"/>
    <col min="12035" max="12035" width="6.5703125" style="8" customWidth="1"/>
    <col min="12036" max="12036" width="8.7109375" style="8" customWidth="1"/>
    <col min="12037" max="12037" width="12.140625" style="8" customWidth="1"/>
    <col min="12038" max="12038" width="13.85546875" style="8" customWidth="1"/>
    <col min="12039" max="12039" width="15.7109375" style="8" customWidth="1"/>
    <col min="12040" max="12288" width="9.140625" style="8"/>
    <col min="12289" max="12289" width="6.7109375" style="8" customWidth="1"/>
    <col min="12290" max="12290" width="46.28515625" style="8" customWidth="1"/>
    <col min="12291" max="12291" width="6.5703125" style="8" customWidth="1"/>
    <col min="12292" max="12292" width="8.7109375" style="8" customWidth="1"/>
    <col min="12293" max="12293" width="12.140625" style="8" customWidth="1"/>
    <col min="12294" max="12294" width="13.85546875" style="8" customWidth="1"/>
    <col min="12295" max="12295" width="15.7109375" style="8" customWidth="1"/>
    <col min="12296" max="12544" width="9.140625" style="8"/>
    <col min="12545" max="12545" width="6.7109375" style="8" customWidth="1"/>
    <col min="12546" max="12546" width="46.28515625" style="8" customWidth="1"/>
    <col min="12547" max="12547" width="6.5703125" style="8" customWidth="1"/>
    <col min="12548" max="12548" width="8.7109375" style="8" customWidth="1"/>
    <col min="12549" max="12549" width="12.140625" style="8" customWidth="1"/>
    <col min="12550" max="12550" width="13.85546875" style="8" customWidth="1"/>
    <col min="12551" max="12551" width="15.7109375" style="8" customWidth="1"/>
    <col min="12552" max="12800" width="9.140625" style="8"/>
    <col min="12801" max="12801" width="6.7109375" style="8" customWidth="1"/>
    <col min="12802" max="12802" width="46.28515625" style="8" customWidth="1"/>
    <col min="12803" max="12803" width="6.5703125" style="8" customWidth="1"/>
    <col min="12804" max="12804" width="8.7109375" style="8" customWidth="1"/>
    <col min="12805" max="12805" width="12.140625" style="8" customWidth="1"/>
    <col min="12806" max="12806" width="13.85546875" style="8" customWidth="1"/>
    <col min="12807" max="12807" width="15.7109375" style="8" customWidth="1"/>
    <col min="12808" max="13056" width="9.140625" style="8"/>
    <col min="13057" max="13057" width="6.7109375" style="8" customWidth="1"/>
    <col min="13058" max="13058" width="46.28515625" style="8" customWidth="1"/>
    <col min="13059" max="13059" width="6.5703125" style="8" customWidth="1"/>
    <col min="13060" max="13060" width="8.7109375" style="8" customWidth="1"/>
    <col min="13061" max="13061" width="12.140625" style="8" customWidth="1"/>
    <col min="13062" max="13062" width="13.85546875" style="8" customWidth="1"/>
    <col min="13063" max="13063" width="15.7109375" style="8" customWidth="1"/>
    <col min="13064" max="13312" width="9.140625" style="8"/>
    <col min="13313" max="13313" width="6.7109375" style="8" customWidth="1"/>
    <col min="13314" max="13314" width="46.28515625" style="8" customWidth="1"/>
    <col min="13315" max="13315" width="6.5703125" style="8" customWidth="1"/>
    <col min="13316" max="13316" width="8.7109375" style="8" customWidth="1"/>
    <col min="13317" max="13317" width="12.140625" style="8" customWidth="1"/>
    <col min="13318" max="13318" width="13.85546875" style="8" customWidth="1"/>
    <col min="13319" max="13319" width="15.7109375" style="8" customWidth="1"/>
    <col min="13320" max="13568" width="9.140625" style="8"/>
    <col min="13569" max="13569" width="6.7109375" style="8" customWidth="1"/>
    <col min="13570" max="13570" width="46.28515625" style="8" customWidth="1"/>
    <col min="13571" max="13571" width="6.5703125" style="8" customWidth="1"/>
    <col min="13572" max="13572" width="8.7109375" style="8" customWidth="1"/>
    <col min="13573" max="13573" width="12.140625" style="8" customWidth="1"/>
    <col min="13574" max="13574" width="13.85546875" style="8" customWidth="1"/>
    <col min="13575" max="13575" width="15.7109375" style="8" customWidth="1"/>
    <col min="13576" max="13824" width="9.140625" style="8"/>
    <col min="13825" max="13825" width="6.7109375" style="8" customWidth="1"/>
    <col min="13826" max="13826" width="46.28515625" style="8" customWidth="1"/>
    <col min="13827" max="13827" width="6.5703125" style="8" customWidth="1"/>
    <col min="13828" max="13828" width="8.7109375" style="8" customWidth="1"/>
    <col min="13829" max="13829" width="12.140625" style="8" customWidth="1"/>
    <col min="13830" max="13830" width="13.85546875" style="8" customWidth="1"/>
    <col min="13831" max="13831" width="15.7109375" style="8" customWidth="1"/>
    <col min="13832" max="14080" width="9.140625" style="8"/>
    <col min="14081" max="14081" width="6.7109375" style="8" customWidth="1"/>
    <col min="14082" max="14082" width="46.28515625" style="8" customWidth="1"/>
    <col min="14083" max="14083" width="6.5703125" style="8" customWidth="1"/>
    <col min="14084" max="14084" width="8.7109375" style="8" customWidth="1"/>
    <col min="14085" max="14085" width="12.140625" style="8" customWidth="1"/>
    <col min="14086" max="14086" width="13.85546875" style="8" customWidth="1"/>
    <col min="14087" max="14087" width="15.7109375" style="8" customWidth="1"/>
    <col min="14088" max="14336" width="9.140625" style="8"/>
    <col min="14337" max="14337" width="6.7109375" style="8" customWidth="1"/>
    <col min="14338" max="14338" width="46.28515625" style="8" customWidth="1"/>
    <col min="14339" max="14339" width="6.5703125" style="8" customWidth="1"/>
    <col min="14340" max="14340" width="8.7109375" style="8" customWidth="1"/>
    <col min="14341" max="14341" width="12.140625" style="8" customWidth="1"/>
    <col min="14342" max="14342" width="13.85546875" style="8" customWidth="1"/>
    <col min="14343" max="14343" width="15.7109375" style="8" customWidth="1"/>
    <col min="14344" max="14592" width="9.140625" style="8"/>
    <col min="14593" max="14593" width="6.7109375" style="8" customWidth="1"/>
    <col min="14594" max="14594" width="46.28515625" style="8" customWidth="1"/>
    <col min="14595" max="14595" width="6.5703125" style="8" customWidth="1"/>
    <col min="14596" max="14596" width="8.7109375" style="8" customWidth="1"/>
    <col min="14597" max="14597" width="12.140625" style="8" customWidth="1"/>
    <col min="14598" max="14598" width="13.85546875" style="8" customWidth="1"/>
    <col min="14599" max="14599" width="15.7109375" style="8" customWidth="1"/>
    <col min="14600" max="14848" width="9.140625" style="8"/>
    <col min="14849" max="14849" width="6.7109375" style="8" customWidth="1"/>
    <col min="14850" max="14850" width="46.28515625" style="8" customWidth="1"/>
    <col min="14851" max="14851" width="6.5703125" style="8" customWidth="1"/>
    <col min="14852" max="14852" width="8.7109375" style="8" customWidth="1"/>
    <col min="14853" max="14853" width="12.140625" style="8" customWidth="1"/>
    <col min="14854" max="14854" width="13.85546875" style="8" customWidth="1"/>
    <col min="14855" max="14855" width="15.7109375" style="8" customWidth="1"/>
    <col min="14856" max="15104" width="9.140625" style="8"/>
    <col min="15105" max="15105" width="6.7109375" style="8" customWidth="1"/>
    <col min="15106" max="15106" width="46.28515625" style="8" customWidth="1"/>
    <col min="15107" max="15107" width="6.5703125" style="8" customWidth="1"/>
    <col min="15108" max="15108" width="8.7109375" style="8" customWidth="1"/>
    <col min="15109" max="15109" width="12.140625" style="8" customWidth="1"/>
    <col min="15110" max="15110" width="13.85546875" style="8" customWidth="1"/>
    <col min="15111" max="15111" width="15.7109375" style="8" customWidth="1"/>
    <col min="15112" max="15360" width="9.140625" style="8"/>
    <col min="15361" max="15361" width="6.7109375" style="8" customWidth="1"/>
    <col min="15362" max="15362" width="46.28515625" style="8" customWidth="1"/>
    <col min="15363" max="15363" width="6.5703125" style="8" customWidth="1"/>
    <col min="15364" max="15364" width="8.7109375" style="8" customWidth="1"/>
    <col min="15365" max="15365" width="12.140625" style="8" customWidth="1"/>
    <col min="15366" max="15366" width="13.85546875" style="8" customWidth="1"/>
    <col min="15367" max="15367" width="15.7109375" style="8" customWidth="1"/>
    <col min="15368" max="15616" width="9.140625" style="8"/>
    <col min="15617" max="15617" width="6.7109375" style="8" customWidth="1"/>
    <col min="15618" max="15618" width="46.28515625" style="8" customWidth="1"/>
    <col min="15619" max="15619" width="6.5703125" style="8" customWidth="1"/>
    <col min="15620" max="15620" width="8.7109375" style="8" customWidth="1"/>
    <col min="15621" max="15621" width="12.140625" style="8" customWidth="1"/>
    <col min="15622" max="15622" width="13.85546875" style="8" customWidth="1"/>
    <col min="15623" max="15623" width="15.7109375" style="8" customWidth="1"/>
    <col min="15624" max="15872" width="9.140625" style="8"/>
    <col min="15873" max="15873" width="6.7109375" style="8" customWidth="1"/>
    <col min="15874" max="15874" width="46.28515625" style="8" customWidth="1"/>
    <col min="15875" max="15875" width="6.5703125" style="8" customWidth="1"/>
    <col min="15876" max="15876" width="8.7109375" style="8" customWidth="1"/>
    <col min="15877" max="15877" width="12.140625" style="8" customWidth="1"/>
    <col min="15878" max="15878" width="13.85546875" style="8" customWidth="1"/>
    <col min="15879" max="15879" width="15.7109375" style="8" customWidth="1"/>
    <col min="15880" max="16128" width="9.140625" style="8"/>
    <col min="16129" max="16129" width="6.7109375" style="8" customWidth="1"/>
    <col min="16130" max="16130" width="46.28515625" style="8" customWidth="1"/>
    <col min="16131" max="16131" width="6.5703125" style="8" customWidth="1"/>
    <col min="16132" max="16132" width="8.7109375" style="8" customWidth="1"/>
    <col min="16133" max="16133" width="12.140625" style="8" customWidth="1"/>
    <col min="16134" max="16134" width="13.85546875" style="8" customWidth="1"/>
    <col min="16135" max="16135" width="15.7109375" style="8" customWidth="1"/>
    <col min="16136" max="16384" width="9.140625" style="8"/>
  </cols>
  <sheetData>
    <row r="1" spans="1:6" ht="12.75" customHeight="1">
      <c r="A1" s="664" t="s">
        <v>992</v>
      </c>
      <c r="B1" s="665" t="s">
        <v>101</v>
      </c>
      <c r="C1" s="666" t="s">
        <v>993</v>
      </c>
      <c r="D1" s="667" t="s">
        <v>99</v>
      </c>
      <c r="E1" s="727" t="s">
        <v>994</v>
      </c>
      <c r="F1" s="668" t="s">
        <v>995</v>
      </c>
    </row>
    <row r="2" spans="1:6" ht="18.75" customHeight="1">
      <c r="A2" s="11"/>
      <c r="B2" s="669"/>
      <c r="C2" s="670"/>
      <c r="D2" s="671"/>
      <c r="E2" s="728"/>
      <c r="F2" s="673"/>
    </row>
    <row r="3" spans="1:6" ht="15.75">
      <c r="A3" s="674" t="s">
        <v>4605</v>
      </c>
      <c r="B3" s="675" t="s">
        <v>996</v>
      </c>
      <c r="C3" s="676"/>
      <c r="D3" s="677"/>
      <c r="E3" s="729"/>
      <c r="F3" s="678"/>
    </row>
    <row r="4" spans="1:6" ht="15.75">
      <c r="A4" s="12"/>
      <c r="B4" s="679"/>
      <c r="C4" s="680"/>
      <c r="D4" s="681"/>
      <c r="E4" s="730"/>
      <c r="F4" s="682"/>
    </row>
    <row r="5" spans="1:6" ht="45">
      <c r="A5" s="12"/>
      <c r="B5" s="679" t="s">
        <v>1907</v>
      </c>
      <c r="C5" s="680"/>
      <c r="D5" s="681"/>
      <c r="E5" s="730"/>
      <c r="F5" s="682"/>
    </row>
    <row r="6" spans="1:6" ht="15.75">
      <c r="A6" s="12"/>
      <c r="B6" s="679"/>
      <c r="C6" s="680"/>
      <c r="D6" s="681"/>
      <c r="E6" s="730"/>
      <c r="F6" s="682"/>
    </row>
    <row r="7" spans="1:6" ht="90">
      <c r="A7" s="683">
        <v>1</v>
      </c>
      <c r="B7" s="679" t="s">
        <v>997</v>
      </c>
      <c r="E7" s="730"/>
      <c r="F7" s="682"/>
    </row>
    <row r="8" spans="1:6" ht="30">
      <c r="A8" s="12"/>
      <c r="B8" s="679"/>
      <c r="C8" s="686" t="s">
        <v>998</v>
      </c>
      <c r="D8" s="687">
        <v>1</v>
      </c>
      <c r="E8" s="730"/>
      <c r="F8" s="682">
        <f>D8*E8</f>
        <v>0</v>
      </c>
    </row>
    <row r="9" spans="1:6" ht="15.75">
      <c r="A9" s="12"/>
      <c r="B9" s="679"/>
      <c r="C9" s="686"/>
      <c r="D9" s="687"/>
      <c r="E9" s="730"/>
      <c r="F9" s="682">
        <f t="shared" ref="F9:F72" si="0">D9*E9</f>
        <v>0</v>
      </c>
    </row>
    <row r="10" spans="1:6" ht="15">
      <c r="A10" s="688"/>
      <c r="B10" s="689" t="s">
        <v>999</v>
      </c>
      <c r="E10" s="730"/>
      <c r="F10" s="682">
        <f t="shared" si="0"/>
        <v>0</v>
      </c>
    </row>
    <row r="11" spans="1:6" ht="15">
      <c r="A11" s="683">
        <f>IF(B11&gt;0,MAX(A4:A10)+1,"")</f>
        <v>2</v>
      </c>
      <c r="B11" s="690" t="s">
        <v>1000</v>
      </c>
      <c r="E11" s="730"/>
      <c r="F11" s="682">
        <f t="shared" si="0"/>
        <v>0</v>
      </c>
    </row>
    <row r="12" spans="1:6" ht="165">
      <c r="A12" s="688"/>
      <c r="B12" s="679" t="s">
        <v>1001</v>
      </c>
      <c r="E12" s="730"/>
      <c r="F12" s="682">
        <f t="shared" si="0"/>
        <v>0</v>
      </c>
    </row>
    <row r="13" spans="1:6" ht="105">
      <c r="A13" s="688"/>
      <c r="B13" s="679" t="s">
        <v>1002</v>
      </c>
      <c r="E13" s="730"/>
      <c r="F13" s="682">
        <f t="shared" si="0"/>
        <v>0</v>
      </c>
    </row>
    <row r="14" spans="1:6" ht="120">
      <c r="A14" s="688"/>
      <c r="B14" s="679" t="s">
        <v>1003</v>
      </c>
      <c r="E14" s="730"/>
      <c r="F14" s="682">
        <f t="shared" si="0"/>
        <v>0</v>
      </c>
    </row>
    <row r="15" spans="1:6" ht="135">
      <c r="A15" s="688"/>
      <c r="B15" s="679" t="s">
        <v>1004</v>
      </c>
      <c r="E15" s="730"/>
      <c r="F15" s="682">
        <f t="shared" si="0"/>
        <v>0</v>
      </c>
    </row>
    <row r="16" spans="1:6" ht="15">
      <c r="A16" s="688"/>
      <c r="B16" s="690"/>
      <c r="E16" s="730"/>
      <c r="F16" s="682">
        <f t="shared" si="0"/>
        <v>0</v>
      </c>
    </row>
    <row r="17" spans="1:6" ht="30">
      <c r="A17" s="688" t="s">
        <v>1005</v>
      </c>
      <c r="B17" s="691" t="s">
        <v>1006</v>
      </c>
      <c r="C17" s="692"/>
      <c r="D17" s="693"/>
      <c r="E17" s="731"/>
      <c r="F17" s="682">
        <f t="shared" si="0"/>
        <v>0</v>
      </c>
    </row>
    <row r="18" spans="1:6" ht="75">
      <c r="A18" s="688"/>
      <c r="B18" s="691" t="s">
        <v>1007</v>
      </c>
      <c r="C18" s="692"/>
      <c r="D18" s="693"/>
      <c r="E18" s="731"/>
      <c r="F18" s="682">
        <f t="shared" si="0"/>
        <v>0</v>
      </c>
    </row>
    <row r="19" spans="1:6" ht="15.75">
      <c r="A19" s="694"/>
      <c r="B19" s="695" t="s">
        <v>1008</v>
      </c>
      <c r="C19" s="696" t="s">
        <v>34</v>
      </c>
      <c r="D19" s="687">
        <v>2</v>
      </c>
      <c r="E19" s="732"/>
      <c r="F19" s="682">
        <f t="shared" si="0"/>
        <v>0</v>
      </c>
    </row>
    <row r="20" spans="1:6" ht="15.75">
      <c r="A20" s="697"/>
      <c r="B20" s="695"/>
      <c r="C20" s="692"/>
      <c r="D20" s="693"/>
      <c r="E20" s="731"/>
      <c r="F20" s="682">
        <f t="shared" si="0"/>
        <v>0</v>
      </c>
    </row>
    <row r="21" spans="1:6" ht="30">
      <c r="A21" s="688" t="s">
        <v>1009</v>
      </c>
      <c r="B21" s="691" t="s">
        <v>1010</v>
      </c>
      <c r="C21" s="692"/>
      <c r="D21" s="693"/>
      <c r="E21" s="731"/>
      <c r="F21" s="682">
        <f t="shared" si="0"/>
        <v>0</v>
      </c>
    </row>
    <row r="22" spans="1:6" ht="45">
      <c r="A22" s="688"/>
      <c r="B22" s="691" t="s">
        <v>1011</v>
      </c>
      <c r="C22" s="692"/>
      <c r="D22" s="693"/>
      <c r="E22" s="731"/>
      <c r="F22" s="682">
        <f t="shared" si="0"/>
        <v>0</v>
      </c>
    </row>
    <row r="23" spans="1:6" ht="15.75">
      <c r="A23" s="694"/>
      <c r="B23" s="695" t="s">
        <v>1012</v>
      </c>
      <c r="C23" s="696" t="s">
        <v>34</v>
      </c>
      <c r="D23" s="687">
        <v>1</v>
      </c>
      <c r="E23" s="732"/>
      <c r="F23" s="682">
        <f t="shared" si="0"/>
        <v>0</v>
      </c>
    </row>
    <row r="24" spans="1:6" ht="15.75">
      <c r="A24" s="694"/>
      <c r="B24" s="695"/>
      <c r="C24" s="696"/>
      <c r="D24" s="687"/>
      <c r="E24" s="732"/>
      <c r="F24" s="682">
        <f t="shared" si="0"/>
        <v>0</v>
      </c>
    </row>
    <row r="25" spans="1:6" ht="30">
      <c r="A25" s="688" t="s">
        <v>1013</v>
      </c>
      <c r="B25" s="691" t="s">
        <v>1014</v>
      </c>
      <c r="C25" s="692"/>
      <c r="D25" s="693"/>
      <c r="E25" s="731"/>
      <c r="F25" s="682">
        <f t="shared" si="0"/>
        <v>0</v>
      </c>
    </row>
    <row r="26" spans="1:6" ht="60">
      <c r="A26" s="688"/>
      <c r="B26" s="691" t="s">
        <v>1015</v>
      </c>
      <c r="C26" s="692"/>
      <c r="D26" s="693"/>
      <c r="E26" s="731"/>
      <c r="F26" s="682">
        <f t="shared" si="0"/>
        <v>0</v>
      </c>
    </row>
    <row r="27" spans="1:6" ht="15.75">
      <c r="A27" s="694"/>
      <c r="B27" s="695" t="s">
        <v>1016</v>
      </c>
      <c r="C27" s="696" t="s">
        <v>34</v>
      </c>
      <c r="D27" s="687">
        <v>2</v>
      </c>
      <c r="E27" s="732"/>
      <c r="F27" s="682">
        <f t="shared" si="0"/>
        <v>0</v>
      </c>
    </row>
    <row r="28" spans="1:6" ht="15.75">
      <c r="A28" s="694"/>
      <c r="B28" s="695" t="s">
        <v>1017</v>
      </c>
      <c r="C28" s="696" t="s">
        <v>34</v>
      </c>
      <c r="D28" s="687">
        <v>1</v>
      </c>
      <c r="E28" s="732"/>
      <c r="F28" s="682">
        <f t="shared" si="0"/>
        <v>0</v>
      </c>
    </row>
    <row r="29" spans="1:6" ht="15.75">
      <c r="A29" s="694"/>
      <c r="B29" s="695"/>
      <c r="C29" s="696"/>
      <c r="D29" s="687"/>
      <c r="E29" s="732"/>
      <c r="F29" s="682">
        <f t="shared" si="0"/>
        <v>0</v>
      </c>
    </row>
    <row r="30" spans="1:6" ht="30">
      <c r="A30" s="688" t="s">
        <v>1018</v>
      </c>
      <c r="B30" s="691" t="s">
        <v>1019</v>
      </c>
      <c r="C30" s="692"/>
      <c r="D30" s="693"/>
      <c r="E30" s="731"/>
      <c r="F30" s="682">
        <f t="shared" si="0"/>
        <v>0</v>
      </c>
    </row>
    <row r="31" spans="1:6" ht="45">
      <c r="A31" s="688"/>
      <c r="B31" s="691" t="s">
        <v>1020</v>
      </c>
      <c r="C31" s="692"/>
      <c r="D31" s="693"/>
      <c r="E31" s="731"/>
      <c r="F31" s="682">
        <f t="shared" si="0"/>
        <v>0</v>
      </c>
    </row>
    <row r="32" spans="1:6" ht="30">
      <c r="A32" s="694"/>
      <c r="B32" s="695" t="s">
        <v>1021</v>
      </c>
      <c r="C32" s="696" t="s">
        <v>34</v>
      </c>
      <c r="D32" s="687">
        <v>10</v>
      </c>
      <c r="E32" s="732"/>
      <c r="F32" s="682">
        <f t="shared" si="0"/>
        <v>0</v>
      </c>
    </row>
    <row r="33" spans="1:6" ht="15.75">
      <c r="A33" s="694"/>
      <c r="B33" s="695"/>
      <c r="C33" s="696"/>
      <c r="D33" s="687"/>
      <c r="E33" s="732"/>
      <c r="F33" s="682">
        <f t="shared" si="0"/>
        <v>0</v>
      </c>
    </row>
    <row r="34" spans="1:6" ht="30">
      <c r="A34" s="688" t="s">
        <v>1022</v>
      </c>
      <c r="B34" s="691" t="s">
        <v>1023</v>
      </c>
      <c r="C34" s="692"/>
      <c r="D34" s="693"/>
      <c r="E34" s="731"/>
      <c r="F34" s="682">
        <f t="shared" si="0"/>
        <v>0</v>
      </c>
    </row>
    <row r="35" spans="1:6" ht="45">
      <c r="A35" s="688"/>
      <c r="B35" s="691" t="s">
        <v>1024</v>
      </c>
      <c r="C35" s="692"/>
      <c r="D35" s="693"/>
      <c r="E35" s="731"/>
      <c r="F35" s="682">
        <f t="shared" si="0"/>
        <v>0</v>
      </c>
    </row>
    <row r="36" spans="1:6" ht="15.75">
      <c r="A36" s="694"/>
      <c r="B36" s="695" t="s">
        <v>1025</v>
      </c>
      <c r="C36" s="696" t="s">
        <v>34</v>
      </c>
      <c r="D36" s="687">
        <v>10</v>
      </c>
      <c r="E36" s="732"/>
      <c r="F36" s="682">
        <f t="shared" si="0"/>
        <v>0</v>
      </c>
    </row>
    <row r="37" spans="1:6" ht="15.75">
      <c r="A37" s="694"/>
      <c r="B37" s="695"/>
      <c r="C37" s="696"/>
      <c r="D37" s="687"/>
      <c r="E37" s="732"/>
      <c r="F37" s="682">
        <f t="shared" si="0"/>
        <v>0</v>
      </c>
    </row>
    <row r="38" spans="1:6" ht="30">
      <c r="A38" s="688" t="s">
        <v>1026</v>
      </c>
      <c r="B38" s="691" t="s">
        <v>1027</v>
      </c>
      <c r="C38" s="692"/>
      <c r="D38" s="693"/>
      <c r="E38" s="731"/>
      <c r="F38" s="682">
        <f t="shared" si="0"/>
        <v>0</v>
      </c>
    </row>
    <row r="39" spans="1:6" ht="30">
      <c r="A39" s="688"/>
      <c r="B39" s="691" t="s">
        <v>1028</v>
      </c>
      <c r="C39" s="692"/>
      <c r="D39" s="693"/>
      <c r="E39" s="731"/>
      <c r="F39" s="682">
        <f t="shared" si="0"/>
        <v>0</v>
      </c>
    </row>
    <row r="40" spans="1:6" ht="15.75">
      <c r="A40" s="694"/>
      <c r="B40" s="695" t="s">
        <v>1029</v>
      </c>
      <c r="C40" s="696" t="s">
        <v>34</v>
      </c>
      <c r="D40" s="687">
        <v>2</v>
      </c>
      <c r="E40" s="732"/>
      <c r="F40" s="682">
        <f t="shared" si="0"/>
        <v>0</v>
      </c>
    </row>
    <row r="41" spans="1:6" ht="15.75">
      <c r="A41" s="694"/>
      <c r="B41" s="695"/>
      <c r="C41" s="696"/>
      <c r="D41" s="687"/>
      <c r="E41" s="732"/>
      <c r="F41" s="682">
        <f t="shared" si="0"/>
        <v>0</v>
      </c>
    </row>
    <row r="42" spans="1:6" ht="15">
      <c r="A42" s="688" t="s">
        <v>1030</v>
      </c>
      <c r="B42" s="691" t="s">
        <v>1031</v>
      </c>
      <c r="C42" s="692"/>
      <c r="D42" s="693"/>
      <c r="E42" s="731"/>
      <c r="F42" s="682">
        <f t="shared" si="0"/>
        <v>0</v>
      </c>
    </row>
    <row r="43" spans="1:6" ht="30">
      <c r="A43" s="688"/>
      <c r="B43" s="691" t="s">
        <v>1032</v>
      </c>
      <c r="C43" s="692"/>
      <c r="D43" s="693"/>
      <c r="E43" s="731"/>
      <c r="F43" s="682">
        <f t="shared" si="0"/>
        <v>0</v>
      </c>
    </row>
    <row r="44" spans="1:6" ht="15.75">
      <c r="A44" s="694"/>
      <c r="B44" s="695" t="s">
        <v>1033</v>
      </c>
      <c r="C44" s="696" t="s">
        <v>34</v>
      </c>
      <c r="D44" s="687">
        <v>4</v>
      </c>
      <c r="E44" s="732"/>
      <c r="F44" s="682">
        <f t="shared" si="0"/>
        <v>0</v>
      </c>
    </row>
    <row r="45" spans="1:6" ht="15.75">
      <c r="A45" s="694"/>
      <c r="B45" s="695"/>
      <c r="C45" s="696"/>
      <c r="D45" s="687"/>
      <c r="E45" s="732"/>
      <c r="F45" s="682">
        <f t="shared" si="0"/>
        <v>0</v>
      </c>
    </row>
    <row r="46" spans="1:6" ht="30">
      <c r="A46" s="683">
        <f>IF(B46&gt;0,MAX(A9:A45)+1,"")</f>
        <v>3</v>
      </c>
      <c r="B46" s="690" t="s">
        <v>1034</v>
      </c>
      <c r="C46" s="696"/>
      <c r="D46" s="687"/>
      <c r="E46" s="732"/>
      <c r="F46" s="682">
        <f t="shared" si="0"/>
        <v>0</v>
      </c>
    </row>
    <row r="47" spans="1:6" ht="180">
      <c r="A47" s="688"/>
      <c r="B47" s="679" t="s">
        <v>1035</v>
      </c>
      <c r="C47" s="696"/>
      <c r="D47" s="687"/>
      <c r="E47" s="732"/>
      <c r="F47" s="682">
        <f t="shared" si="0"/>
        <v>0</v>
      </c>
    </row>
    <row r="48" spans="1:6" ht="60">
      <c r="A48" s="688"/>
      <c r="B48" s="679" t="s">
        <v>1036</v>
      </c>
      <c r="C48" s="696"/>
      <c r="D48" s="687"/>
      <c r="E48" s="732"/>
      <c r="F48" s="682">
        <f t="shared" si="0"/>
        <v>0</v>
      </c>
    </row>
    <row r="49" spans="1:6" ht="105">
      <c r="A49" s="688"/>
      <c r="B49" s="679" t="s">
        <v>1037</v>
      </c>
      <c r="C49" s="696"/>
      <c r="D49" s="687"/>
      <c r="E49" s="732"/>
      <c r="F49" s="682">
        <f t="shared" si="0"/>
        <v>0</v>
      </c>
    </row>
    <row r="50" spans="1:6" ht="120">
      <c r="A50" s="688"/>
      <c r="B50" s="679" t="s">
        <v>1038</v>
      </c>
      <c r="C50" s="696"/>
      <c r="D50" s="687"/>
      <c r="E50" s="732"/>
      <c r="F50" s="682">
        <f t="shared" si="0"/>
        <v>0</v>
      </c>
    </row>
    <row r="51" spans="1:6" ht="135">
      <c r="A51" s="688"/>
      <c r="B51" s="679" t="s">
        <v>1039</v>
      </c>
      <c r="C51" s="696"/>
      <c r="D51" s="687"/>
      <c r="E51" s="732"/>
      <c r="F51" s="682">
        <f t="shared" si="0"/>
        <v>0</v>
      </c>
    </row>
    <row r="52" spans="1:6" ht="15">
      <c r="A52" s="688"/>
      <c r="B52" s="690"/>
      <c r="C52" s="696"/>
      <c r="D52" s="687"/>
      <c r="E52" s="732"/>
      <c r="F52" s="682">
        <f t="shared" si="0"/>
        <v>0</v>
      </c>
    </row>
    <row r="53" spans="1:6" ht="15">
      <c r="A53" s="688" t="s">
        <v>1005</v>
      </c>
      <c r="B53" s="691" t="s">
        <v>1040</v>
      </c>
      <c r="C53" s="698"/>
      <c r="D53" s="699"/>
      <c r="E53" s="733"/>
      <c r="F53" s="682">
        <f t="shared" si="0"/>
        <v>0</v>
      </c>
    </row>
    <row r="54" spans="1:6" ht="120">
      <c r="A54" s="688"/>
      <c r="B54" s="691" t="s">
        <v>1041</v>
      </c>
      <c r="C54" s="698"/>
      <c r="D54" s="699"/>
      <c r="E54" s="733"/>
      <c r="F54" s="682">
        <f t="shared" si="0"/>
        <v>0</v>
      </c>
    </row>
    <row r="55" spans="1:6" ht="15.75">
      <c r="A55" s="700"/>
      <c r="B55" s="695" t="s">
        <v>1042</v>
      </c>
      <c r="C55" s="696" t="s">
        <v>1043</v>
      </c>
      <c r="D55" s="701">
        <v>1</v>
      </c>
      <c r="E55" s="734"/>
      <c r="F55" s="682">
        <f t="shared" si="0"/>
        <v>0</v>
      </c>
    </row>
    <row r="56" spans="1:6" ht="60">
      <c r="A56" s="700"/>
      <c r="B56" s="695" t="s">
        <v>1044</v>
      </c>
      <c r="C56" s="696"/>
      <c r="D56" s="701"/>
      <c r="E56" s="734"/>
      <c r="F56" s="682">
        <f t="shared" si="0"/>
        <v>0</v>
      </c>
    </row>
    <row r="57" spans="1:6" ht="15.75">
      <c r="A57" s="700"/>
      <c r="B57" s="695" t="s">
        <v>1045</v>
      </c>
      <c r="C57" s="696" t="s">
        <v>1043</v>
      </c>
      <c r="D57" s="701">
        <v>1</v>
      </c>
      <c r="E57" s="734"/>
      <c r="F57" s="682">
        <f t="shared" si="0"/>
        <v>0</v>
      </c>
    </row>
    <row r="58" spans="1:6" ht="15.75">
      <c r="A58" s="694"/>
      <c r="B58" s="695"/>
      <c r="C58" s="696"/>
      <c r="D58" s="701"/>
      <c r="E58" s="735"/>
      <c r="F58" s="682">
        <f t="shared" si="0"/>
        <v>0</v>
      </c>
    </row>
    <row r="59" spans="1:6" ht="15">
      <c r="A59" s="688" t="s">
        <v>1009</v>
      </c>
      <c r="B59" s="691" t="s">
        <v>1046</v>
      </c>
      <c r="C59" s="698"/>
      <c r="D59" s="699"/>
      <c r="E59" s="733"/>
      <c r="F59" s="682">
        <f t="shared" si="0"/>
        <v>0</v>
      </c>
    </row>
    <row r="60" spans="1:6" ht="195">
      <c r="A60" s="700"/>
      <c r="B60" s="691" t="s">
        <v>1047</v>
      </c>
      <c r="E60" s="734"/>
      <c r="F60" s="682">
        <f t="shared" si="0"/>
        <v>0</v>
      </c>
    </row>
    <row r="61" spans="1:6" ht="30">
      <c r="A61" s="700"/>
      <c r="B61" s="695" t="s">
        <v>1048</v>
      </c>
      <c r="C61" s="696" t="s">
        <v>1043</v>
      </c>
      <c r="D61" s="701">
        <v>1</v>
      </c>
      <c r="E61" s="734"/>
      <c r="F61" s="682">
        <f t="shared" si="0"/>
        <v>0</v>
      </c>
    </row>
    <row r="62" spans="1:6" ht="150">
      <c r="A62" s="700"/>
      <c r="B62" s="702" t="s">
        <v>1049</v>
      </c>
      <c r="C62" s="696"/>
      <c r="D62" s="701"/>
      <c r="E62" s="734"/>
      <c r="F62" s="682">
        <f t="shared" si="0"/>
        <v>0</v>
      </c>
    </row>
    <row r="63" spans="1:6" ht="60">
      <c r="A63" s="694"/>
      <c r="B63" s="703" t="s">
        <v>1050</v>
      </c>
      <c r="C63" s="696" t="s">
        <v>1043</v>
      </c>
      <c r="D63" s="701">
        <v>1</v>
      </c>
      <c r="E63" s="734"/>
      <c r="F63" s="682">
        <f t="shared" si="0"/>
        <v>0</v>
      </c>
    </row>
    <row r="64" spans="1:6" ht="120">
      <c r="A64" s="694"/>
      <c r="B64" s="703" t="s">
        <v>1051</v>
      </c>
      <c r="C64" s="696"/>
      <c r="D64" s="701"/>
      <c r="E64" s="734"/>
      <c r="F64" s="682">
        <f t="shared" si="0"/>
        <v>0</v>
      </c>
    </row>
    <row r="65" spans="1:6" ht="45">
      <c r="A65" s="694"/>
      <c r="B65" s="695" t="s">
        <v>1052</v>
      </c>
      <c r="C65" s="696" t="s">
        <v>1043</v>
      </c>
      <c r="D65" s="701">
        <v>1</v>
      </c>
      <c r="E65" s="734"/>
      <c r="F65" s="682">
        <f t="shared" si="0"/>
        <v>0</v>
      </c>
    </row>
    <row r="66" spans="1:6" ht="15.75">
      <c r="A66" s="694"/>
      <c r="B66" s="695"/>
      <c r="C66" s="696"/>
      <c r="D66" s="701"/>
      <c r="E66" s="735"/>
      <c r="F66" s="682">
        <f t="shared" si="0"/>
        <v>0</v>
      </c>
    </row>
    <row r="67" spans="1:6" ht="15">
      <c r="A67" s="688" t="s">
        <v>1013</v>
      </c>
      <c r="B67" s="691" t="s">
        <v>1053</v>
      </c>
      <c r="C67" s="698"/>
      <c r="D67" s="699"/>
      <c r="E67" s="733"/>
      <c r="F67" s="682">
        <f t="shared" si="0"/>
        <v>0</v>
      </c>
    </row>
    <row r="68" spans="1:6" ht="75">
      <c r="A68" s="704"/>
      <c r="B68" s="691" t="s">
        <v>1054</v>
      </c>
      <c r="C68" s="698"/>
      <c r="D68" s="699"/>
      <c r="E68" s="734"/>
      <c r="F68" s="682">
        <f t="shared" si="0"/>
        <v>0</v>
      </c>
    </row>
    <row r="69" spans="1:6" ht="60">
      <c r="A69" s="694"/>
      <c r="B69" s="695" t="s">
        <v>1055</v>
      </c>
      <c r="C69" s="696" t="s">
        <v>1043</v>
      </c>
      <c r="D69" s="701">
        <v>1</v>
      </c>
      <c r="E69" s="734"/>
      <c r="F69" s="682">
        <f t="shared" si="0"/>
        <v>0</v>
      </c>
    </row>
    <row r="70" spans="1:6" ht="30">
      <c r="A70" s="694"/>
      <c r="B70" s="695" t="s">
        <v>1056</v>
      </c>
      <c r="C70" s="696"/>
      <c r="D70" s="701"/>
      <c r="E70" s="734"/>
      <c r="F70" s="682">
        <f t="shared" si="0"/>
        <v>0</v>
      </c>
    </row>
    <row r="71" spans="1:6" ht="15.75">
      <c r="A71" s="700"/>
      <c r="B71" s="695" t="s">
        <v>1057</v>
      </c>
      <c r="C71" s="696" t="s">
        <v>1043</v>
      </c>
      <c r="D71" s="701">
        <v>1</v>
      </c>
      <c r="E71" s="734"/>
      <c r="F71" s="682">
        <f t="shared" si="0"/>
        <v>0</v>
      </c>
    </row>
    <row r="72" spans="1:6" ht="15.75">
      <c r="A72" s="700"/>
      <c r="B72" s="705"/>
      <c r="C72" s="706"/>
      <c r="D72" s="707"/>
      <c r="E72" s="734"/>
      <c r="F72" s="682">
        <f t="shared" si="0"/>
        <v>0</v>
      </c>
    </row>
    <row r="73" spans="1:6" ht="15">
      <c r="A73" s="688" t="s">
        <v>1018</v>
      </c>
      <c r="B73" s="691" t="s">
        <v>1058</v>
      </c>
      <c r="C73" s="698"/>
      <c r="D73" s="699"/>
      <c r="E73" s="733"/>
      <c r="F73" s="682">
        <f t="shared" ref="F73:F136" si="1">D73*E73</f>
        <v>0</v>
      </c>
    </row>
    <row r="74" spans="1:6" ht="75">
      <c r="A74" s="704"/>
      <c r="B74" s="691" t="s">
        <v>1054</v>
      </c>
      <c r="C74" s="698"/>
      <c r="D74" s="699"/>
      <c r="E74" s="734"/>
      <c r="F74" s="682">
        <f t="shared" si="1"/>
        <v>0</v>
      </c>
    </row>
    <row r="75" spans="1:6" ht="60">
      <c r="A75" s="694"/>
      <c r="B75" s="708" t="s">
        <v>1059</v>
      </c>
      <c r="C75" s="696" t="s">
        <v>1043</v>
      </c>
      <c r="D75" s="701">
        <v>1</v>
      </c>
      <c r="E75" s="734"/>
      <c r="F75" s="682">
        <f t="shared" si="1"/>
        <v>0</v>
      </c>
    </row>
    <row r="76" spans="1:6" ht="30">
      <c r="A76" s="694"/>
      <c r="B76" s="695" t="s">
        <v>1056</v>
      </c>
      <c r="C76" s="696"/>
      <c r="D76" s="701"/>
      <c r="E76" s="734"/>
      <c r="F76" s="682">
        <f t="shared" si="1"/>
        <v>0</v>
      </c>
    </row>
    <row r="77" spans="1:6" ht="15.75">
      <c r="A77" s="700"/>
      <c r="B77" s="695" t="s">
        <v>1060</v>
      </c>
      <c r="C77" s="696" t="s">
        <v>1043</v>
      </c>
      <c r="D77" s="701">
        <v>1</v>
      </c>
      <c r="E77" s="734"/>
      <c r="F77" s="682">
        <f t="shared" si="1"/>
        <v>0</v>
      </c>
    </row>
    <row r="78" spans="1:6" ht="15.75">
      <c r="A78" s="700"/>
      <c r="B78" s="705"/>
      <c r="C78" s="706"/>
      <c r="D78" s="707"/>
      <c r="E78" s="734"/>
      <c r="F78" s="682">
        <f t="shared" si="1"/>
        <v>0</v>
      </c>
    </row>
    <row r="79" spans="1:6" ht="30">
      <c r="A79" s="683">
        <f>IF(B79&gt;0,MAX(A42:A78)+1,"")</f>
        <v>4</v>
      </c>
      <c r="B79" s="690" t="s">
        <v>1061</v>
      </c>
      <c r="C79" s="706"/>
      <c r="D79" s="707"/>
      <c r="E79" s="734"/>
      <c r="F79" s="682">
        <f t="shared" si="1"/>
        <v>0</v>
      </c>
    </row>
    <row r="80" spans="1:6" ht="75">
      <c r="A80" s="700"/>
      <c r="B80" s="679" t="s">
        <v>1062</v>
      </c>
      <c r="C80" s="706"/>
      <c r="D80" s="707"/>
      <c r="E80" s="734"/>
      <c r="F80" s="682">
        <f t="shared" si="1"/>
        <v>0</v>
      </c>
    </row>
    <row r="81" spans="1:6" ht="135">
      <c r="A81" s="700"/>
      <c r="B81" s="679" t="s">
        <v>1063</v>
      </c>
      <c r="C81" s="706"/>
      <c r="D81" s="707"/>
      <c r="E81" s="734"/>
      <c r="F81" s="682">
        <f t="shared" si="1"/>
        <v>0</v>
      </c>
    </row>
    <row r="82" spans="1:6" ht="105">
      <c r="A82" s="700"/>
      <c r="B82" s="679" t="s">
        <v>1064</v>
      </c>
      <c r="C82" s="706"/>
      <c r="D82" s="707"/>
      <c r="E82" s="734"/>
      <c r="F82" s="682">
        <f t="shared" si="1"/>
        <v>0</v>
      </c>
    </row>
    <row r="83" spans="1:6" ht="15.75">
      <c r="A83" s="700"/>
      <c r="B83" s="679"/>
      <c r="C83" s="706"/>
      <c r="D83" s="707"/>
      <c r="E83" s="734"/>
      <c r="F83" s="682">
        <f t="shared" si="1"/>
        <v>0</v>
      </c>
    </row>
    <row r="84" spans="1:6" ht="15">
      <c r="A84" s="688" t="s">
        <v>1005</v>
      </c>
      <c r="B84" s="691" t="s">
        <v>1040</v>
      </c>
      <c r="C84" s="698"/>
      <c r="D84" s="699"/>
      <c r="E84" s="733"/>
      <c r="F84" s="682">
        <f t="shared" si="1"/>
        <v>0</v>
      </c>
    </row>
    <row r="85" spans="1:6" ht="30">
      <c r="A85" s="688"/>
      <c r="B85" s="691" t="s">
        <v>1065</v>
      </c>
      <c r="C85" s="698"/>
      <c r="D85" s="699"/>
      <c r="E85" s="733"/>
      <c r="F85" s="682">
        <f t="shared" si="1"/>
        <v>0</v>
      </c>
    </row>
    <row r="86" spans="1:6" ht="17.25">
      <c r="A86" s="700"/>
      <c r="B86" s="695" t="s">
        <v>1066</v>
      </c>
      <c r="C86" s="696" t="s">
        <v>1067</v>
      </c>
      <c r="D86" s="687">
        <v>55</v>
      </c>
      <c r="E86" s="736"/>
      <c r="F86" s="682">
        <f t="shared" si="1"/>
        <v>0</v>
      </c>
    </row>
    <row r="87" spans="1:6" ht="30">
      <c r="A87" s="700"/>
      <c r="B87" s="695" t="s">
        <v>1068</v>
      </c>
      <c r="C87" s="696" t="s">
        <v>1067</v>
      </c>
      <c r="D87" s="687">
        <v>13</v>
      </c>
      <c r="E87" s="736"/>
      <c r="F87" s="682">
        <f t="shared" si="1"/>
        <v>0</v>
      </c>
    </row>
    <row r="88" spans="1:6" ht="15.75">
      <c r="A88" s="694"/>
      <c r="B88" s="695"/>
      <c r="C88" s="696"/>
      <c r="D88" s="701"/>
      <c r="E88" s="735"/>
      <c r="F88" s="682">
        <f t="shared" si="1"/>
        <v>0</v>
      </c>
    </row>
    <row r="89" spans="1:6" ht="15">
      <c r="A89" s="688" t="s">
        <v>1009</v>
      </c>
      <c r="B89" s="691" t="s">
        <v>1046</v>
      </c>
      <c r="C89" s="698"/>
      <c r="D89" s="699"/>
      <c r="E89" s="733"/>
      <c r="F89" s="682">
        <f t="shared" si="1"/>
        <v>0</v>
      </c>
    </row>
    <row r="90" spans="1:6" ht="165">
      <c r="A90" s="704"/>
      <c r="B90" s="691" t="s">
        <v>1069</v>
      </c>
      <c r="C90" s="698"/>
      <c r="D90" s="699"/>
      <c r="E90" s="733"/>
      <c r="F90" s="682">
        <f t="shared" si="1"/>
        <v>0</v>
      </c>
    </row>
    <row r="91" spans="1:6" ht="17.25">
      <c r="A91" s="700"/>
      <c r="B91" s="695" t="s">
        <v>1070</v>
      </c>
      <c r="C91" s="696" t="s">
        <v>1067</v>
      </c>
      <c r="D91" s="687">
        <v>89</v>
      </c>
      <c r="E91" s="736"/>
      <c r="F91" s="682">
        <f t="shared" si="1"/>
        <v>0</v>
      </c>
    </row>
    <row r="92" spans="1:6" ht="75">
      <c r="A92" s="700"/>
      <c r="B92" s="695" t="s">
        <v>1071</v>
      </c>
      <c r="C92" s="706"/>
      <c r="D92" s="709"/>
      <c r="E92" s="736"/>
      <c r="F92" s="682">
        <f t="shared" si="1"/>
        <v>0</v>
      </c>
    </row>
    <row r="93" spans="1:6" ht="60">
      <c r="A93" s="700"/>
      <c r="B93" s="691" t="s">
        <v>1072</v>
      </c>
      <c r="C93" s="696" t="s">
        <v>1043</v>
      </c>
      <c r="D93" s="687">
        <v>1</v>
      </c>
      <c r="E93" s="734"/>
      <c r="F93" s="682">
        <f t="shared" si="1"/>
        <v>0</v>
      </c>
    </row>
    <row r="94" spans="1:6" ht="45">
      <c r="A94" s="700"/>
      <c r="B94" s="691" t="s">
        <v>1073</v>
      </c>
      <c r="C94" s="696"/>
      <c r="D94" s="687"/>
      <c r="E94" s="734"/>
      <c r="F94" s="682">
        <f t="shared" si="1"/>
        <v>0</v>
      </c>
    </row>
    <row r="95" spans="1:6" ht="17.25">
      <c r="A95" s="700"/>
      <c r="B95" s="695" t="s">
        <v>1074</v>
      </c>
      <c r="C95" s="696" t="s">
        <v>1067</v>
      </c>
      <c r="D95" s="687">
        <v>14</v>
      </c>
      <c r="E95" s="736"/>
      <c r="F95" s="682">
        <f t="shared" si="1"/>
        <v>0</v>
      </c>
    </row>
    <row r="96" spans="1:6" ht="75">
      <c r="A96" s="700"/>
      <c r="B96" s="695" t="s">
        <v>1075</v>
      </c>
      <c r="C96" s="696"/>
      <c r="D96" s="687"/>
      <c r="E96" s="736"/>
      <c r="F96" s="682">
        <f t="shared" si="1"/>
        <v>0</v>
      </c>
    </row>
    <row r="97" spans="1:6" ht="15.75">
      <c r="A97" s="694"/>
      <c r="B97" s="695" t="s">
        <v>1076</v>
      </c>
      <c r="C97" s="696" t="s">
        <v>1043</v>
      </c>
      <c r="D97" s="701">
        <v>1</v>
      </c>
      <c r="E97" s="734"/>
      <c r="F97" s="682">
        <f t="shared" si="1"/>
        <v>0</v>
      </c>
    </row>
    <row r="98" spans="1:6" ht="15.75">
      <c r="A98" s="694"/>
      <c r="B98" s="695"/>
      <c r="C98" s="696"/>
      <c r="D98" s="701"/>
      <c r="E98" s="735"/>
      <c r="F98" s="682">
        <f t="shared" si="1"/>
        <v>0</v>
      </c>
    </row>
    <row r="99" spans="1:6" ht="15">
      <c r="A99" s="688" t="s">
        <v>1013</v>
      </c>
      <c r="B99" s="691" t="s">
        <v>1077</v>
      </c>
      <c r="C99" s="698"/>
      <c r="D99" s="699"/>
      <c r="E99" s="733"/>
      <c r="F99" s="682">
        <f t="shared" si="1"/>
        <v>0</v>
      </c>
    </row>
    <row r="100" spans="1:6" ht="75">
      <c r="A100" s="688"/>
      <c r="B100" s="691" t="s">
        <v>1078</v>
      </c>
      <c r="C100" s="698"/>
      <c r="D100" s="699"/>
      <c r="E100" s="733"/>
      <c r="F100" s="682">
        <f t="shared" si="1"/>
        <v>0</v>
      </c>
    </row>
    <row r="101" spans="1:6" ht="17.25">
      <c r="A101" s="700"/>
      <c r="B101" s="695" t="s">
        <v>1079</v>
      </c>
      <c r="C101" s="696" t="s">
        <v>1067</v>
      </c>
      <c r="D101" s="687">
        <v>87</v>
      </c>
      <c r="E101" s="736"/>
      <c r="F101" s="682">
        <f t="shared" si="1"/>
        <v>0</v>
      </c>
    </row>
    <row r="102" spans="1:6" ht="17.25">
      <c r="A102" s="700"/>
      <c r="B102" s="695" t="s">
        <v>1080</v>
      </c>
      <c r="C102" s="696" t="s">
        <v>1067</v>
      </c>
      <c r="D102" s="687">
        <v>64</v>
      </c>
      <c r="E102" s="736"/>
      <c r="F102" s="682">
        <f t="shared" si="1"/>
        <v>0</v>
      </c>
    </row>
    <row r="103" spans="1:6" ht="15.75">
      <c r="A103" s="700"/>
      <c r="B103" s="705"/>
      <c r="C103" s="706"/>
      <c r="D103" s="707"/>
      <c r="E103" s="734"/>
      <c r="F103" s="682">
        <f t="shared" si="1"/>
        <v>0</v>
      </c>
    </row>
    <row r="104" spans="1:6" ht="15">
      <c r="A104" s="688" t="s">
        <v>1018</v>
      </c>
      <c r="B104" s="691" t="s">
        <v>1081</v>
      </c>
      <c r="C104" s="698"/>
      <c r="D104" s="699"/>
      <c r="E104" s="733"/>
      <c r="F104" s="682">
        <f t="shared" si="1"/>
        <v>0</v>
      </c>
    </row>
    <row r="105" spans="1:6" ht="30">
      <c r="A105" s="688"/>
      <c r="B105" s="691" t="s">
        <v>1082</v>
      </c>
      <c r="C105" s="698"/>
      <c r="D105" s="699"/>
      <c r="E105" s="733"/>
      <c r="F105" s="682">
        <f t="shared" si="1"/>
        <v>0</v>
      </c>
    </row>
    <row r="106" spans="1:6" ht="17.25">
      <c r="A106" s="700"/>
      <c r="B106" s="695" t="s">
        <v>1079</v>
      </c>
      <c r="C106" s="696" t="s">
        <v>1067</v>
      </c>
      <c r="D106" s="687">
        <v>15</v>
      </c>
      <c r="E106" s="736"/>
      <c r="F106" s="682">
        <f t="shared" si="1"/>
        <v>0</v>
      </c>
    </row>
    <row r="107" spans="1:6" ht="15.75">
      <c r="A107" s="700"/>
      <c r="B107" s="705"/>
      <c r="C107" s="706"/>
      <c r="D107" s="709"/>
      <c r="E107" s="736"/>
      <c r="F107" s="682">
        <f t="shared" si="1"/>
        <v>0</v>
      </c>
    </row>
    <row r="108" spans="1:6" ht="15">
      <c r="A108" s="688" t="s">
        <v>1022</v>
      </c>
      <c r="B108" s="691" t="s">
        <v>1053</v>
      </c>
      <c r="C108" s="698"/>
      <c r="D108" s="699"/>
      <c r="E108" s="733"/>
      <c r="F108" s="682">
        <f t="shared" si="1"/>
        <v>0</v>
      </c>
    </row>
    <row r="109" spans="1:6" ht="90">
      <c r="A109" s="704"/>
      <c r="B109" s="691" t="s">
        <v>1083</v>
      </c>
      <c r="C109" s="698"/>
      <c r="D109" s="699"/>
      <c r="E109" s="733"/>
      <c r="F109" s="682">
        <f t="shared" si="1"/>
        <v>0</v>
      </c>
    </row>
    <row r="110" spans="1:6" ht="17.25">
      <c r="A110" s="700"/>
      <c r="B110" s="695" t="s">
        <v>1079</v>
      </c>
      <c r="C110" s="696" t="s">
        <v>1067</v>
      </c>
      <c r="D110" s="687">
        <v>45</v>
      </c>
      <c r="E110" s="736"/>
      <c r="F110" s="682">
        <f t="shared" si="1"/>
        <v>0</v>
      </c>
    </row>
    <row r="111" spans="1:6" ht="17.25">
      <c r="A111" s="700"/>
      <c r="B111" s="695" t="s">
        <v>1084</v>
      </c>
      <c r="C111" s="696" t="s">
        <v>1067</v>
      </c>
      <c r="D111" s="687">
        <v>14</v>
      </c>
      <c r="E111" s="736"/>
      <c r="F111" s="682">
        <f t="shared" si="1"/>
        <v>0</v>
      </c>
    </row>
    <row r="112" spans="1:6" ht="17.25">
      <c r="A112" s="700"/>
      <c r="B112" s="695" t="s">
        <v>1085</v>
      </c>
      <c r="C112" s="696" t="s">
        <v>1067</v>
      </c>
      <c r="D112" s="687">
        <v>14</v>
      </c>
      <c r="E112" s="736"/>
      <c r="F112" s="682">
        <f t="shared" si="1"/>
        <v>0</v>
      </c>
    </row>
    <row r="113" spans="1:6" ht="15.75">
      <c r="A113" s="700"/>
      <c r="B113" s="705"/>
      <c r="C113" s="706"/>
      <c r="D113" s="707"/>
      <c r="E113" s="734"/>
      <c r="F113" s="682">
        <f t="shared" si="1"/>
        <v>0</v>
      </c>
    </row>
    <row r="114" spans="1:6" ht="15">
      <c r="A114" s="688" t="s">
        <v>1026</v>
      </c>
      <c r="B114" s="691" t="s">
        <v>1058</v>
      </c>
      <c r="C114" s="698"/>
      <c r="D114" s="699"/>
      <c r="E114" s="733"/>
      <c r="F114" s="682">
        <f t="shared" si="1"/>
        <v>0</v>
      </c>
    </row>
    <row r="115" spans="1:6" ht="90">
      <c r="A115" s="704"/>
      <c r="B115" s="691" t="s">
        <v>1083</v>
      </c>
      <c r="C115" s="698"/>
      <c r="D115" s="699"/>
      <c r="E115" s="733"/>
      <c r="F115" s="682">
        <f t="shared" si="1"/>
        <v>0</v>
      </c>
    </row>
    <row r="116" spans="1:6" ht="17.25">
      <c r="A116" s="700"/>
      <c r="B116" s="695" t="s">
        <v>1079</v>
      </c>
      <c r="C116" s="696" t="s">
        <v>1067</v>
      </c>
      <c r="D116" s="687">
        <v>46</v>
      </c>
      <c r="E116" s="736"/>
      <c r="F116" s="682">
        <f t="shared" si="1"/>
        <v>0</v>
      </c>
    </row>
    <row r="117" spans="1:6" ht="17.25">
      <c r="A117" s="700"/>
      <c r="B117" s="695" t="s">
        <v>1084</v>
      </c>
      <c r="C117" s="696" t="s">
        <v>1067</v>
      </c>
      <c r="D117" s="687">
        <v>14</v>
      </c>
      <c r="E117" s="736"/>
      <c r="F117" s="682">
        <f t="shared" si="1"/>
        <v>0</v>
      </c>
    </row>
    <row r="118" spans="1:6" ht="17.25">
      <c r="A118" s="700"/>
      <c r="B118" s="695" t="s">
        <v>1085</v>
      </c>
      <c r="C118" s="696" t="s">
        <v>1067</v>
      </c>
      <c r="D118" s="687">
        <v>11</v>
      </c>
      <c r="E118" s="736"/>
      <c r="F118" s="682">
        <f t="shared" si="1"/>
        <v>0</v>
      </c>
    </row>
    <row r="119" spans="1:6" ht="15.75">
      <c r="A119" s="700"/>
      <c r="B119" s="695"/>
      <c r="C119" s="696"/>
      <c r="D119" s="687"/>
      <c r="E119" s="736"/>
      <c r="F119" s="682">
        <f t="shared" si="1"/>
        <v>0</v>
      </c>
    </row>
    <row r="120" spans="1:6" ht="30">
      <c r="A120" s="683">
        <f>IF(B120&gt;0,MAX(A78:A119)+1,"")</f>
        <v>5</v>
      </c>
      <c r="B120" s="690" t="s">
        <v>1086</v>
      </c>
      <c r="C120" s="696"/>
      <c r="D120" s="687"/>
      <c r="E120" s="736"/>
      <c r="F120" s="682">
        <f t="shared" si="1"/>
        <v>0</v>
      </c>
    </row>
    <row r="121" spans="1:6" ht="75">
      <c r="A121" s="700"/>
      <c r="B121" s="695" t="s">
        <v>1087</v>
      </c>
      <c r="C121" s="696"/>
      <c r="D121" s="687"/>
      <c r="E121" s="736"/>
      <c r="F121" s="682">
        <f t="shared" si="1"/>
        <v>0</v>
      </c>
    </row>
    <row r="122" spans="1:6" ht="120">
      <c r="A122" s="700"/>
      <c r="B122" s="691" t="s">
        <v>1088</v>
      </c>
      <c r="C122" s="696"/>
      <c r="D122" s="687"/>
      <c r="E122" s="736"/>
      <c r="F122" s="682">
        <f t="shared" si="1"/>
        <v>0</v>
      </c>
    </row>
    <row r="123" spans="1:6" ht="90">
      <c r="A123" s="700"/>
      <c r="B123" s="691" t="s">
        <v>1089</v>
      </c>
      <c r="C123" s="696"/>
      <c r="D123" s="687"/>
      <c r="E123" s="736"/>
      <c r="F123" s="682">
        <f t="shared" si="1"/>
        <v>0</v>
      </c>
    </row>
    <row r="124" spans="1:6" ht="105">
      <c r="A124" s="700"/>
      <c r="B124" s="679" t="s">
        <v>1090</v>
      </c>
      <c r="C124" s="696"/>
      <c r="D124" s="687"/>
      <c r="E124" s="736"/>
      <c r="F124" s="682">
        <f t="shared" si="1"/>
        <v>0</v>
      </c>
    </row>
    <row r="125" spans="1:6" ht="15.75">
      <c r="A125" s="700"/>
      <c r="B125" s="695" t="s">
        <v>1091</v>
      </c>
      <c r="C125" s="696" t="s">
        <v>1043</v>
      </c>
      <c r="D125" s="701">
        <v>1</v>
      </c>
      <c r="E125" s="735"/>
      <c r="F125" s="682">
        <f t="shared" si="1"/>
        <v>0</v>
      </c>
    </row>
    <row r="126" spans="1:6" ht="15.75">
      <c r="A126" s="700"/>
      <c r="B126" s="695" t="s">
        <v>1092</v>
      </c>
      <c r="C126" s="696" t="s">
        <v>1043</v>
      </c>
      <c r="D126" s="701">
        <v>1</v>
      </c>
      <c r="E126" s="735"/>
      <c r="F126" s="682">
        <f t="shared" si="1"/>
        <v>0</v>
      </c>
    </row>
    <row r="127" spans="1:6" ht="15.75">
      <c r="A127" s="700"/>
      <c r="B127" s="695" t="s">
        <v>1093</v>
      </c>
      <c r="C127" s="696" t="s">
        <v>1043</v>
      </c>
      <c r="D127" s="701">
        <v>1</v>
      </c>
      <c r="E127" s="735"/>
      <c r="F127" s="682">
        <f t="shared" si="1"/>
        <v>0</v>
      </c>
    </row>
    <row r="128" spans="1:6" ht="15.75">
      <c r="A128" s="700"/>
      <c r="B128" s="695" t="s">
        <v>1094</v>
      </c>
      <c r="C128" s="696" t="s">
        <v>1043</v>
      </c>
      <c r="D128" s="701">
        <v>1</v>
      </c>
      <c r="E128" s="735"/>
      <c r="F128" s="682">
        <f t="shared" si="1"/>
        <v>0</v>
      </c>
    </row>
    <row r="129" spans="1:6" ht="15.75">
      <c r="A129" s="700"/>
      <c r="B129" s="705"/>
      <c r="C129" s="706"/>
      <c r="D129" s="709"/>
      <c r="E129" s="736"/>
      <c r="F129" s="682">
        <f t="shared" si="1"/>
        <v>0</v>
      </c>
    </row>
    <row r="130" spans="1:6" ht="15.75">
      <c r="A130" s="697"/>
      <c r="B130" s="689" t="s">
        <v>1095</v>
      </c>
      <c r="C130" s="692"/>
      <c r="D130" s="693"/>
      <c r="E130" s="731"/>
      <c r="F130" s="682">
        <f t="shared" si="1"/>
        <v>0</v>
      </c>
    </row>
    <row r="131" spans="1:6" ht="15.75">
      <c r="A131" s="697"/>
      <c r="B131" s="690"/>
      <c r="C131" s="692"/>
      <c r="D131" s="693"/>
      <c r="E131" s="731"/>
      <c r="F131" s="682">
        <f t="shared" si="1"/>
        <v>0</v>
      </c>
    </row>
    <row r="132" spans="1:6" ht="60">
      <c r="A132" s="683">
        <f>IF(B132&gt;0,MAX(A90:A131)+1,"")</f>
        <v>6</v>
      </c>
      <c r="B132" s="679" t="s">
        <v>1096</v>
      </c>
      <c r="C132" s="692"/>
      <c r="D132" s="693"/>
      <c r="E132" s="731"/>
      <c r="F132" s="682">
        <f t="shared" si="1"/>
        <v>0</v>
      </c>
    </row>
    <row r="133" spans="1:6" ht="165">
      <c r="A133" s="697"/>
      <c r="B133" s="679" t="s">
        <v>1097</v>
      </c>
      <c r="C133" s="696" t="s">
        <v>34</v>
      </c>
      <c r="D133" s="687">
        <v>5</v>
      </c>
      <c r="E133" s="732"/>
      <c r="F133" s="682">
        <f t="shared" si="1"/>
        <v>0</v>
      </c>
    </row>
    <row r="134" spans="1:6" ht="165">
      <c r="A134" s="697"/>
      <c r="B134" s="679" t="s">
        <v>1098</v>
      </c>
      <c r="C134" s="696" t="s">
        <v>34</v>
      </c>
      <c r="D134" s="687">
        <v>5</v>
      </c>
      <c r="E134" s="732"/>
      <c r="F134" s="682">
        <f t="shared" si="1"/>
        <v>0</v>
      </c>
    </row>
    <row r="135" spans="1:6" ht="120">
      <c r="A135" s="697"/>
      <c r="B135" s="679" t="s">
        <v>1099</v>
      </c>
      <c r="C135" s="696" t="s">
        <v>34</v>
      </c>
      <c r="D135" s="687">
        <v>5</v>
      </c>
      <c r="E135" s="732"/>
      <c r="F135" s="682">
        <f t="shared" si="1"/>
        <v>0</v>
      </c>
    </row>
    <row r="136" spans="1:6" ht="15.75">
      <c r="A136" s="697"/>
      <c r="B136" s="679"/>
      <c r="C136" s="696"/>
      <c r="D136" s="687"/>
      <c r="E136" s="732"/>
      <c r="F136" s="682">
        <f t="shared" si="1"/>
        <v>0</v>
      </c>
    </row>
    <row r="137" spans="1:6" ht="30">
      <c r="A137" s="683">
        <f>IF(B137&gt;0,MAX(A95:A136)+1,"")</f>
        <v>7</v>
      </c>
      <c r="B137" s="679" t="s">
        <v>1100</v>
      </c>
      <c r="C137" s="706"/>
      <c r="D137" s="687"/>
      <c r="E137" s="732"/>
      <c r="F137" s="682">
        <f t="shared" ref="F137:F200" si="2">D137*E137</f>
        <v>0</v>
      </c>
    </row>
    <row r="138" spans="1:6" ht="60">
      <c r="A138" s="697"/>
      <c r="B138" s="679" t="s">
        <v>1101</v>
      </c>
      <c r="C138" s="696"/>
      <c r="D138" s="701"/>
      <c r="E138" s="735"/>
      <c r="F138" s="682">
        <f t="shared" si="2"/>
        <v>0</v>
      </c>
    </row>
    <row r="139" spans="1:6" ht="105">
      <c r="A139" s="697"/>
      <c r="B139" s="679" t="s">
        <v>1102</v>
      </c>
      <c r="C139" s="696"/>
      <c r="D139" s="701"/>
      <c r="E139" s="735"/>
      <c r="F139" s="682">
        <f t="shared" si="2"/>
        <v>0</v>
      </c>
    </row>
    <row r="140" spans="1:6" ht="60">
      <c r="A140" s="697"/>
      <c r="B140" s="710" t="s">
        <v>1103</v>
      </c>
      <c r="C140" s="696"/>
      <c r="D140" s="701"/>
      <c r="E140" s="735"/>
      <c r="F140" s="682">
        <f t="shared" si="2"/>
        <v>0</v>
      </c>
    </row>
    <row r="141" spans="1:6" ht="135">
      <c r="A141" s="697"/>
      <c r="B141" s="679" t="s">
        <v>1104</v>
      </c>
      <c r="C141" s="696"/>
      <c r="D141" s="701"/>
      <c r="E141" s="735"/>
      <c r="F141" s="682">
        <f t="shared" si="2"/>
        <v>0</v>
      </c>
    </row>
    <row r="142" spans="1:6" ht="90">
      <c r="A142" s="697"/>
      <c r="B142" s="679" t="s">
        <v>1105</v>
      </c>
      <c r="C142" s="696"/>
      <c r="D142" s="701"/>
      <c r="E142" s="735"/>
      <c r="F142" s="682">
        <f t="shared" si="2"/>
        <v>0</v>
      </c>
    </row>
    <row r="143" spans="1:6" ht="45">
      <c r="A143" s="697"/>
      <c r="B143" s="679" t="s">
        <v>1106</v>
      </c>
      <c r="C143" s="696"/>
      <c r="D143" s="701"/>
      <c r="E143" s="735"/>
      <c r="F143" s="682">
        <f t="shared" si="2"/>
        <v>0</v>
      </c>
    </row>
    <row r="144" spans="1:6" ht="105">
      <c r="A144" s="697"/>
      <c r="B144" s="679" t="s">
        <v>1107</v>
      </c>
      <c r="C144" s="696"/>
      <c r="D144" s="701"/>
      <c r="E144" s="735"/>
      <c r="F144" s="682">
        <f t="shared" si="2"/>
        <v>0</v>
      </c>
    </row>
    <row r="145" spans="1:6" ht="15.75">
      <c r="A145" s="697"/>
      <c r="B145" s="690"/>
      <c r="C145" s="692"/>
      <c r="D145" s="693"/>
      <c r="E145" s="731"/>
      <c r="F145" s="682">
        <f t="shared" si="2"/>
        <v>0</v>
      </c>
    </row>
    <row r="146" spans="1:6" ht="15">
      <c r="A146" s="688" t="s">
        <v>1005</v>
      </c>
      <c r="B146" s="691" t="s">
        <v>1108</v>
      </c>
      <c r="C146" s="692"/>
      <c r="D146" s="693"/>
      <c r="E146" s="731"/>
      <c r="F146" s="682">
        <f t="shared" si="2"/>
        <v>0</v>
      </c>
    </row>
    <row r="147" spans="1:6" ht="30">
      <c r="A147" s="688"/>
      <c r="B147" s="691" t="s">
        <v>1109</v>
      </c>
      <c r="C147" s="692"/>
      <c r="D147" s="693"/>
      <c r="E147" s="731"/>
      <c r="F147" s="682">
        <f t="shared" si="2"/>
        <v>0</v>
      </c>
    </row>
    <row r="148" spans="1:6" ht="17.25">
      <c r="A148" s="694"/>
      <c r="B148" s="695" t="s">
        <v>1110</v>
      </c>
      <c r="C148" s="696" t="s">
        <v>1067</v>
      </c>
      <c r="D148" s="687">
        <v>12</v>
      </c>
      <c r="E148" s="732"/>
      <c r="F148" s="682">
        <f t="shared" si="2"/>
        <v>0</v>
      </c>
    </row>
    <row r="149" spans="1:6" ht="17.25">
      <c r="A149" s="697"/>
      <c r="B149" s="695" t="s">
        <v>1111</v>
      </c>
      <c r="C149" s="696" t="s">
        <v>1067</v>
      </c>
      <c r="D149" s="687">
        <v>11</v>
      </c>
      <c r="E149" s="732"/>
      <c r="F149" s="682">
        <f t="shared" si="2"/>
        <v>0</v>
      </c>
    </row>
    <row r="150" spans="1:6" ht="15.75">
      <c r="A150" s="697"/>
      <c r="B150" s="695"/>
      <c r="C150" s="696"/>
      <c r="D150" s="687"/>
      <c r="E150" s="732"/>
      <c r="F150" s="682">
        <f t="shared" si="2"/>
        <v>0</v>
      </c>
    </row>
    <row r="151" spans="1:6" ht="15">
      <c r="A151" s="688" t="s">
        <v>1009</v>
      </c>
      <c r="B151" s="691" t="s">
        <v>1112</v>
      </c>
      <c r="C151" s="692"/>
      <c r="D151" s="693"/>
      <c r="E151" s="731"/>
      <c r="F151" s="682">
        <f t="shared" si="2"/>
        <v>0</v>
      </c>
    </row>
    <row r="152" spans="1:6" ht="30">
      <c r="A152" s="688"/>
      <c r="B152" s="691" t="s">
        <v>1113</v>
      </c>
      <c r="C152" s="692"/>
      <c r="D152" s="693"/>
      <c r="E152" s="731"/>
      <c r="F152" s="682">
        <f t="shared" si="2"/>
        <v>0</v>
      </c>
    </row>
    <row r="153" spans="1:6" ht="30">
      <c r="A153" s="694"/>
      <c r="B153" s="695" t="s">
        <v>1114</v>
      </c>
      <c r="C153" s="696"/>
      <c r="D153" s="687"/>
      <c r="E153" s="732"/>
      <c r="F153" s="682">
        <f t="shared" si="2"/>
        <v>0</v>
      </c>
    </row>
    <row r="154" spans="1:6" ht="15.75">
      <c r="A154" s="694"/>
      <c r="B154" s="695" t="s">
        <v>1115</v>
      </c>
      <c r="C154" s="696"/>
      <c r="D154" s="687"/>
      <c r="E154" s="732"/>
      <c r="F154" s="682">
        <f t="shared" si="2"/>
        <v>0</v>
      </c>
    </row>
    <row r="155" spans="1:6" ht="30">
      <c r="A155" s="694"/>
      <c r="B155" s="695" t="s">
        <v>1116</v>
      </c>
      <c r="C155" s="696"/>
      <c r="D155" s="687"/>
      <c r="E155" s="732"/>
      <c r="F155" s="682">
        <f t="shared" si="2"/>
        <v>0</v>
      </c>
    </row>
    <row r="156" spans="1:6" ht="30">
      <c r="A156" s="697"/>
      <c r="B156" s="695" t="s">
        <v>1117</v>
      </c>
      <c r="C156" s="696"/>
      <c r="D156" s="687"/>
      <c r="E156" s="732"/>
      <c r="F156" s="682">
        <f t="shared" si="2"/>
        <v>0</v>
      </c>
    </row>
    <row r="157" spans="1:6" ht="15.75">
      <c r="A157" s="697"/>
      <c r="B157" s="695" t="s">
        <v>1118</v>
      </c>
      <c r="C157" s="696"/>
      <c r="D157" s="687"/>
      <c r="E157" s="732"/>
      <c r="F157" s="682">
        <f t="shared" si="2"/>
        <v>0</v>
      </c>
    </row>
    <row r="158" spans="1:6" ht="31.5">
      <c r="A158" s="697"/>
      <c r="B158" s="695" t="s">
        <v>1119</v>
      </c>
      <c r="C158" s="696"/>
      <c r="D158" s="687"/>
      <c r="E158" s="732"/>
      <c r="F158" s="682">
        <f t="shared" si="2"/>
        <v>0</v>
      </c>
    </row>
    <row r="159" spans="1:6" ht="15.75">
      <c r="A159" s="697"/>
      <c r="B159" s="695" t="s">
        <v>1120</v>
      </c>
      <c r="C159" s="696"/>
      <c r="D159" s="687"/>
      <c r="E159" s="732"/>
      <c r="F159" s="682">
        <f t="shared" si="2"/>
        <v>0</v>
      </c>
    </row>
    <row r="160" spans="1:6" ht="15.75">
      <c r="A160" s="697"/>
      <c r="B160" s="695" t="s">
        <v>1121</v>
      </c>
      <c r="C160" s="696"/>
      <c r="D160" s="687"/>
      <c r="E160" s="732"/>
      <c r="F160" s="682">
        <f t="shared" si="2"/>
        <v>0</v>
      </c>
    </row>
    <row r="161" spans="1:6" ht="15.75">
      <c r="A161" s="697"/>
      <c r="B161" s="695" t="s">
        <v>1122</v>
      </c>
      <c r="C161" s="696"/>
      <c r="D161" s="687"/>
      <c r="E161" s="732"/>
      <c r="F161" s="682">
        <f t="shared" si="2"/>
        <v>0</v>
      </c>
    </row>
    <row r="162" spans="1:6" ht="15.75">
      <c r="A162" s="697"/>
      <c r="B162" s="695" t="s">
        <v>1123</v>
      </c>
      <c r="C162" s="696" t="s">
        <v>1043</v>
      </c>
      <c r="D162" s="701">
        <v>1</v>
      </c>
      <c r="E162" s="735"/>
      <c r="F162" s="682">
        <f t="shared" si="2"/>
        <v>0</v>
      </c>
    </row>
    <row r="163" spans="1:6" ht="15.75">
      <c r="A163" s="697"/>
      <c r="B163" s="695"/>
      <c r="C163" s="696"/>
      <c r="D163" s="687"/>
      <c r="E163" s="732"/>
      <c r="F163" s="682">
        <f t="shared" si="2"/>
        <v>0</v>
      </c>
    </row>
    <row r="164" spans="1:6" ht="45">
      <c r="A164" s="688" t="s">
        <v>1013</v>
      </c>
      <c r="B164" s="691" t="s">
        <v>1124</v>
      </c>
      <c r="C164" s="692"/>
      <c r="D164" s="693"/>
      <c r="E164" s="731"/>
      <c r="F164" s="682">
        <f t="shared" si="2"/>
        <v>0</v>
      </c>
    </row>
    <row r="165" spans="1:6" ht="15.75">
      <c r="A165" s="694"/>
      <c r="B165" s="695" t="s">
        <v>1125</v>
      </c>
      <c r="C165" s="696" t="s">
        <v>34</v>
      </c>
      <c r="D165" s="687">
        <v>1</v>
      </c>
      <c r="E165" s="732"/>
      <c r="F165" s="682">
        <f t="shared" si="2"/>
        <v>0</v>
      </c>
    </row>
    <row r="166" spans="1:6" ht="15.75">
      <c r="A166" s="694"/>
      <c r="B166" s="695" t="s">
        <v>1126</v>
      </c>
      <c r="C166" s="696" t="s">
        <v>34</v>
      </c>
      <c r="D166" s="687">
        <v>1</v>
      </c>
      <c r="E166" s="732"/>
      <c r="F166" s="682">
        <f t="shared" si="2"/>
        <v>0</v>
      </c>
    </row>
    <row r="167" spans="1:6" ht="15.75">
      <c r="A167" s="697"/>
      <c r="B167" s="695"/>
      <c r="C167" s="696"/>
      <c r="D167" s="687"/>
      <c r="E167" s="732"/>
      <c r="F167" s="682">
        <f t="shared" si="2"/>
        <v>0</v>
      </c>
    </row>
    <row r="168" spans="1:6" ht="15">
      <c r="A168" s="688" t="s">
        <v>1018</v>
      </c>
      <c r="B168" s="691" t="s">
        <v>1127</v>
      </c>
      <c r="C168" s="692"/>
      <c r="D168" s="693"/>
      <c r="E168" s="731"/>
      <c r="F168" s="682">
        <f t="shared" si="2"/>
        <v>0</v>
      </c>
    </row>
    <row r="169" spans="1:6" ht="90">
      <c r="A169" s="688"/>
      <c r="B169" s="691" t="s">
        <v>1128</v>
      </c>
      <c r="C169" s="692"/>
      <c r="D169" s="693"/>
      <c r="E169" s="731"/>
      <c r="F169" s="682">
        <f t="shared" si="2"/>
        <v>0</v>
      </c>
    </row>
    <row r="170" spans="1:6" ht="15.75">
      <c r="A170" s="694"/>
      <c r="B170" s="695" t="s">
        <v>1129</v>
      </c>
      <c r="C170" s="696" t="s">
        <v>1043</v>
      </c>
      <c r="D170" s="701">
        <v>1</v>
      </c>
      <c r="E170" s="735"/>
      <c r="F170" s="682">
        <f t="shared" si="2"/>
        <v>0</v>
      </c>
    </row>
    <row r="171" spans="1:6" ht="15.75">
      <c r="A171" s="694"/>
      <c r="B171" s="695"/>
      <c r="C171" s="696"/>
      <c r="D171" s="701"/>
      <c r="E171" s="735"/>
      <c r="F171" s="682">
        <f t="shared" si="2"/>
        <v>0</v>
      </c>
    </row>
    <row r="172" spans="1:6" ht="15">
      <c r="A172" s="688" t="s">
        <v>1022</v>
      </c>
      <c r="B172" s="691" t="s">
        <v>1130</v>
      </c>
      <c r="C172" s="692"/>
      <c r="D172" s="693"/>
      <c r="E172" s="731"/>
      <c r="F172" s="682">
        <f t="shared" si="2"/>
        <v>0</v>
      </c>
    </row>
    <row r="173" spans="1:6" ht="15.75">
      <c r="A173" s="694"/>
      <c r="B173" s="695" t="s">
        <v>1131</v>
      </c>
      <c r="C173" s="696" t="s">
        <v>34</v>
      </c>
      <c r="D173" s="687">
        <v>1</v>
      </c>
      <c r="E173" s="732"/>
      <c r="F173" s="682">
        <f t="shared" si="2"/>
        <v>0</v>
      </c>
    </row>
    <row r="174" spans="1:6" ht="15.75">
      <c r="A174" s="697"/>
      <c r="B174" s="695" t="s">
        <v>1132</v>
      </c>
      <c r="C174" s="696" t="s">
        <v>34</v>
      </c>
      <c r="D174" s="687">
        <v>2</v>
      </c>
      <c r="E174" s="732"/>
      <c r="F174" s="682">
        <f t="shared" si="2"/>
        <v>0</v>
      </c>
    </row>
    <row r="175" spans="1:6" ht="15.75">
      <c r="A175" s="697"/>
      <c r="B175" s="695" t="s">
        <v>1133</v>
      </c>
      <c r="C175" s="696" t="s">
        <v>34</v>
      </c>
      <c r="D175" s="687">
        <v>1</v>
      </c>
      <c r="E175" s="732"/>
      <c r="F175" s="682">
        <f t="shared" si="2"/>
        <v>0</v>
      </c>
    </row>
    <row r="176" spans="1:6" ht="15.75">
      <c r="A176" s="697"/>
      <c r="B176" s="695" t="s">
        <v>1134</v>
      </c>
      <c r="C176" s="696" t="s">
        <v>34</v>
      </c>
      <c r="D176" s="687">
        <v>1</v>
      </c>
      <c r="E176" s="732"/>
      <c r="F176" s="682">
        <f t="shared" si="2"/>
        <v>0</v>
      </c>
    </row>
    <row r="177" spans="1:6" ht="15.75">
      <c r="A177" s="697"/>
      <c r="B177" s="695" t="s">
        <v>1135</v>
      </c>
      <c r="C177" s="696" t="s">
        <v>34</v>
      </c>
      <c r="D177" s="687">
        <v>1</v>
      </c>
      <c r="E177" s="732"/>
      <c r="F177" s="682">
        <f t="shared" si="2"/>
        <v>0</v>
      </c>
    </row>
    <row r="178" spans="1:6" ht="15.75">
      <c r="A178" s="697"/>
      <c r="B178" s="695"/>
      <c r="C178" s="696"/>
      <c r="D178" s="687"/>
      <c r="E178" s="732"/>
      <c r="F178" s="682">
        <f t="shared" si="2"/>
        <v>0</v>
      </c>
    </row>
    <row r="179" spans="1:6" ht="30">
      <c r="A179" s="688" t="s">
        <v>1026</v>
      </c>
      <c r="B179" s="691" t="s">
        <v>1136</v>
      </c>
      <c r="C179" s="692"/>
      <c r="D179" s="693"/>
      <c r="E179" s="731"/>
      <c r="F179" s="682">
        <f t="shared" si="2"/>
        <v>0</v>
      </c>
    </row>
    <row r="180" spans="1:6" ht="105">
      <c r="A180" s="688"/>
      <c r="B180" s="691" t="s">
        <v>1137</v>
      </c>
      <c r="C180" s="692"/>
      <c r="D180" s="693"/>
      <c r="E180" s="731"/>
      <c r="F180" s="682">
        <f t="shared" si="2"/>
        <v>0</v>
      </c>
    </row>
    <row r="181" spans="1:6" ht="15.75">
      <c r="A181" s="694"/>
      <c r="B181" s="695"/>
      <c r="C181" s="696" t="s">
        <v>1043</v>
      </c>
      <c r="D181" s="701">
        <v>1</v>
      </c>
      <c r="E181" s="735"/>
      <c r="F181" s="682">
        <f t="shared" si="2"/>
        <v>0</v>
      </c>
    </row>
    <row r="182" spans="1:6" ht="15.75">
      <c r="A182" s="694"/>
      <c r="B182" s="695"/>
      <c r="C182" s="696"/>
      <c r="D182" s="701"/>
      <c r="E182" s="735"/>
      <c r="F182" s="682">
        <f t="shared" si="2"/>
        <v>0</v>
      </c>
    </row>
    <row r="183" spans="1:6" ht="15">
      <c r="A183" s="688" t="s">
        <v>1030</v>
      </c>
      <c r="B183" s="691" t="s">
        <v>1138</v>
      </c>
      <c r="C183" s="692"/>
      <c r="D183" s="693"/>
      <c r="E183" s="731"/>
      <c r="F183" s="682">
        <f t="shared" si="2"/>
        <v>0</v>
      </c>
    </row>
    <row r="184" spans="1:6" ht="75">
      <c r="A184" s="688"/>
      <c r="B184" s="691" t="s">
        <v>1139</v>
      </c>
      <c r="C184" s="692"/>
      <c r="D184" s="693"/>
      <c r="E184" s="731"/>
      <c r="F184" s="682">
        <f t="shared" si="2"/>
        <v>0</v>
      </c>
    </row>
    <row r="185" spans="1:6" ht="15.75">
      <c r="A185" s="694"/>
      <c r="B185" s="695" t="s">
        <v>1140</v>
      </c>
      <c r="C185" s="696" t="s">
        <v>1043</v>
      </c>
      <c r="D185" s="701">
        <v>1</v>
      </c>
      <c r="E185" s="735"/>
      <c r="F185" s="682">
        <f t="shared" si="2"/>
        <v>0</v>
      </c>
    </row>
    <row r="186" spans="1:6" ht="15.75">
      <c r="A186" s="694"/>
      <c r="B186" s="695"/>
      <c r="C186" s="696"/>
      <c r="D186" s="687"/>
      <c r="E186" s="732"/>
      <c r="F186" s="682">
        <f t="shared" si="2"/>
        <v>0</v>
      </c>
    </row>
    <row r="187" spans="1:6" ht="45">
      <c r="A187" s="688" t="s">
        <v>1141</v>
      </c>
      <c r="B187" s="691" t="s">
        <v>1142</v>
      </c>
      <c r="C187" s="692"/>
      <c r="D187" s="693"/>
      <c r="E187" s="731"/>
      <c r="F187" s="682">
        <f t="shared" si="2"/>
        <v>0</v>
      </c>
    </row>
    <row r="188" spans="1:6" ht="15.75">
      <c r="A188" s="694"/>
      <c r="B188" s="695" t="s">
        <v>1143</v>
      </c>
      <c r="C188" s="696" t="s">
        <v>1043</v>
      </c>
      <c r="D188" s="701">
        <v>1</v>
      </c>
      <c r="E188" s="735"/>
      <c r="F188" s="682">
        <f t="shared" si="2"/>
        <v>0</v>
      </c>
    </row>
    <row r="189" spans="1:6" ht="15.75">
      <c r="A189" s="694"/>
      <c r="B189" s="695"/>
      <c r="C189" s="696"/>
      <c r="D189" s="701"/>
      <c r="E189" s="735"/>
      <c r="F189" s="682">
        <f t="shared" si="2"/>
        <v>0</v>
      </c>
    </row>
    <row r="190" spans="1:6" ht="45">
      <c r="A190" s="688" t="s">
        <v>1144</v>
      </c>
      <c r="B190" s="691" t="s">
        <v>1145</v>
      </c>
      <c r="C190" s="692"/>
      <c r="D190" s="693"/>
      <c r="E190" s="731"/>
      <c r="F190" s="682">
        <f t="shared" si="2"/>
        <v>0</v>
      </c>
    </row>
    <row r="191" spans="1:6" ht="15.75">
      <c r="A191" s="694"/>
      <c r="B191" s="695" t="s">
        <v>1146</v>
      </c>
      <c r="C191" s="696" t="s">
        <v>34</v>
      </c>
      <c r="D191" s="701">
        <v>1</v>
      </c>
      <c r="E191" s="735"/>
      <c r="F191" s="682">
        <f t="shared" si="2"/>
        <v>0</v>
      </c>
    </row>
    <row r="192" spans="1:6" ht="15.75">
      <c r="A192" s="697"/>
      <c r="B192" s="695"/>
      <c r="C192" s="696"/>
      <c r="D192" s="687"/>
      <c r="E192" s="732"/>
      <c r="F192" s="682">
        <f t="shared" si="2"/>
        <v>0</v>
      </c>
    </row>
    <row r="193" spans="1:6" ht="30">
      <c r="A193" s="688" t="s">
        <v>1147</v>
      </c>
      <c r="B193" s="691" t="s">
        <v>1148</v>
      </c>
      <c r="C193" s="692"/>
      <c r="D193" s="693"/>
      <c r="E193" s="731"/>
      <c r="F193" s="682">
        <f t="shared" si="2"/>
        <v>0</v>
      </c>
    </row>
    <row r="194" spans="1:6" ht="45">
      <c r="A194" s="694"/>
      <c r="B194" s="695" t="s">
        <v>1149</v>
      </c>
      <c r="C194" s="696" t="s">
        <v>1043</v>
      </c>
      <c r="D194" s="701">
        <v>1</v>
      </c>
      <c r="E194" s="735"/>
      <c r="F194" s="682">
        <f t="shared" si="2"/>
        <v>0</v>
      </c>
    </row>
    <row r="195" spans="1:6" ht="45">
      <c r="A195" s="694"/>
      <c r="B195" s="695" t="s">
        <v>1150</v>
      </c>
      <c r="C195" s="696" t="s">
        <v>1043</v>
      </c>
      <c r="D195" s="701">
        <v>1</v>
      </c>
      <c r="E195" s="735"/>
      <c r="F195" s="682">
        <f t="shared" si="2"/>
        <v>0</v>
      </c>
    </row>
    <row r="196" spans="1:6" ht="15.75">
      <c r="A196" s="694"/>
      <c r="B196" s="695"/>
      <c r="C196" s="696"/>
      <c r="D196" s="701"/>
      <c r="E196" s="735"/>
      <c r="F196" s="682">
        <f t="shared" si="2"/>
        <v>0</v>
      </c>
    </row>
    <row r="197" spans="1:6" ht="30">
      <c r="A197" s="688" t="s">
        <v>1151</v>
      </c>
      <c r="B197" s="691" t="s">
        <v>1152</v>
      </c>
      <c r="C197" s="692"/>
      <c r="D197" s="693"/>
      <c r="E197" s="731"/>
      <c r="F197" s="682">
        <f t="shared" si="2"/>
        <v>0</v>
      </c>
    </row>
    <row r="198" spans="1:6" ht="45">
      <c r="A198" s="688"/>
      <c r="B198" s="691" t="s">
        <v>1153</v>
      </c>
      <c r="C198" s="692"/>
      <c r="D198" s="693"/>
      <c r="E198" s="731"/>
      <c r="F198" s="682">
        <f t="shared" si="2"/>
        <v>0</v>
      </c>
    </row>
    <row r="199" spans="1:6" ht="15.75">
      <c r="A199" s="694"/>
      <c r="B199" s="695" t="s">
        <v>1154</v>
      </c>
      <c r="C199" s="696" t="s">
        <v>1043</v>
      </c>
      <c r="D199" s="701">
        <v>1</v>
      </c>
      <c r="E199" s="735"/>
      <c r="F199" s="682">
        <f t="shared" si="2"/>
        <v>0</v>
      </c>
    </row>
    <row r="200" spans="1:6" ht="15.75">
      <c r="A200" s="694"/>
      <c r="B200" s="695" t="s">
        <v>1155</v>
      </c>
      <c r="C200" s="696" t="s">
        <v>1043</v>
      </c>
      <c r="D200" s="701">
        <v>1</v>
      </c>
      <c r="E200" s="735"/>
      <c r="F200" s="682">
        <f t="shared" si="2"/>
        <v>0</v>
      </c>
    </row>
    <row r="201" spans="1:6" ht="15.75">
      <c r="A201" s="694"/>
      <c r="B201" s="695"/>
      <c r="C201" s="696"/>
      <c r="D201" s="701"/>
      <c r="E201" s="735"/>
      <c r="F201" s="682">
        <f t="shared" ref="F201:F264" si="3">D201*E201</f>
        <v>0</v>
      </c>
    </row>
    <row r="202" spans="1:6" ht="15">
      <c r="A202" s="688" t="s">
        <v>1156</v>
      </c>
      <c r="B202" s="691" t="s">
        <v>1157</v>
      </c>
      <c r="C202" s="692"/>
      <c r="D202" s="693"/>
      <c r="E202" s="731"/>
      <c r="F202" s="682">
        <f t="shared" si="3"/>
        <v>0</v>
      </c>
    </row>
    <row r="203" spans="1:6" ht="15.75">
      <c r="A203" s="694"/>
      <c r="B203" s="695" t="s">
        <v>1158</v>
      </c>
      <c r="C203" s="696" t="s">
        <v>34</v>
      </c>
      <c r="D203" s="701">
        <v>1</v>
      </c>
      <c r="E203" s="735"/>
      <c r="F203" s="682">
        <f t="shared" si="3"/>
        <v>0</v>
      </c>
    </row>
    <row r="204" spans="1:6" ht="15.75">
      <c r="A204" s="694"/>
      <c r="B204" s="695" t="s">
        <v>1159</v>
      </c>
      <c r="C204" s="696" t="s">
        <v>34</v>
      </c>
      <c r="D204" s="701">
        <v>1</v>
      </c>
      <c r="E204" s="735"/>
      <c r="F204" s="682">
        <f t="shared" si="3"/>
        <v>0</v>
      </c>
    </row>
    <row r="205" spans="1:6" ht="15.75">
      <c r="A205" s="694"/>
      <c r="B205" s="695"/>
      <c r="C205" s="696"/>
      <c r="D205" s="701"/>
      <c r="E205" s="735"/>
      <c r="F205" s="682">
        <f t="shared" si="3"/>
        <v>0</v>
      </c>
    </row>
    <row r="206" spans="1:6" ht="30">
      <c r="A206" s="688" t="s">
        <v>1160</v>
      </c>
      <c r="B206" s="691" t="s">
        <v>1161</v>
      </c>
      <c r="C206" s="692"/>
      <c r="D206" s="693"/>
      <c r="E206" s="731"/>
      <c r="F206" s="682">
        <f t="shared" si="3"/>
        <v>0</v>
      </c>
    </row>
    <row r="207" spans="1:6" ht="75">
      <c r="A207" s="688"/>
      <c r="B207" s="691" t="s">
        <v>1162</v>
      </c>
      <c r="C207" s="692"/>
      <c r="D207" s="693"/>
      <c r="E207" s="731"/>
      <c r="F207" s="682">
        <f t="shared" si="3"/>
        <v>0</v>
      </c>
    </row>
    <row r="208" spans="1:6" ht="15.75">
      <c r="A208" s="694"/>
      <c r="B208" s="695" t="s">
        <v>1163</v>
      </c>
      <c r="C208" s="696" t="s">
        <v>34</v>
      </c>
      <c r="D208" s="701">
        <v>1</v>
      </c>
      <c r="E208" s="735"/>
      <c r="F208" s="682">
        <f t="shared" si="3"/>
        <v>0</v>
      </c>
    </row>
    <row r="209" spans="1:6" ht="15.75">
      <c r="A209" s="694"/>
      <c r="B209" s="695" t="s">
        <v>1164</v>
      </c>
      <c r="C209" s="696" t="s">
        <v>34</v>
      </c>
      <c r="D209" s="701">
        <v>1</v>
      </c>
      <c r="E209" s="735"/>
      <c r="F209" s="682">
        <f t="shared" si="3"/>
        <v>0</v>
      </c>
    </row>
    <row r="210" spans="1:6" ht="15.75">
      <c r="A210" s="694"/>
      <c r="B210" s="695"/>
      <c r="C210" s="696"/>
      <c r="D210" s="701"/>
      <c r="E210" s="735"/>
      <c r="F210" s="682">
        <f t="shared" si="3"/>
        <v>0</v>
      </c>
    </row>
    <row r="211" spans="1:6" ht="30">
      <c r="A211" s="688" t="s">
        <v>1165</v>
      </c>
      <c r="B211" s="691" t="s">
        <v>1166</v>
      </c>
      <c r="C211" s="692"/>
      <c r="D211" s="693"/>
      <c r="E211" s="731"/>
      <c r="F211" s="682">
        <f t="shared" si="3"/>
        <v>0</v>
      </c>
    </row>
    <row r="212" spans="1:6" ht="120">
      <c r="A212" s="688"/>
      <c r="B212" s="691" t="s">
        <v>1167</v>
      </c>
      <c r="C212" s="692"/>
      <c r="D212" s="693"/>
      <c r="E212" s="731"/>
      <c r="F212" s="682">
        <f t="shared" si="3"/>
        <v>0</v>
      </c>
    </row>
    <row r="213" spans="1:6" ht="15.75">
      <c r="A213" s="694"/>
      <c r="B213" s="695" t="s">
        <v>1168</v>
      </c>
      <c r="C213" s="696" t="s">
        <v>1043</v>
      </c>
      <c r="D213" s="701">
        <v>1</v>
      </c>
      <c r="E213" s="735"/>
      <c r="F213" s="682">
        <f t="shared" si="3"/>
        <v>0</v>
      </c>
    </row>
    <row r="214" spans="1:6" ht="15.75">
      <c r="A214" s="694"/>
      <c r="B214" s="695"/>
      <c r="C214" s="696"/>
      <c r="D214" s="701"/>
      <c r="E214" s="735"/>
      <c r="F214" s="682">
        <f t="shared" si="3"/>
        <v>0</v>
      </c>
    </row>
    <row r="215" spans="1:6" ht="30">
      <c r="A215" s="688" t="s">
        <v>1169</v>
      </c>
      <c r="B215" s="691" t="s">
        <v>1170</v>
      </c>
      <c r="C215" s="692"/>
      <c r="D215" s="693"/>
      <c r="E215" s="731"/>
      <c r="F215" s="682">
        <f t="shared" si="3"/>
        <v>0</v>
      </c>
    </row>
    <row r="216" spans="1:6" ht="75">
      <c r="A216" s="688"/>
      <c r="B216" s="691" t="s">
        <v>1171</v>
      </c>
      <c r="C216" s="692"/>
      <c r="D216" s="693"/>
      <c r="E216" s="731"/>
      <c r="F216" s="682">
        <f t="shared" si="3"/>
        <v>0</v>
      </c>
    </row>
    <row r="217" spans="1:6" ht="15.75">
      <c r="A217" s="694"/>
      <c r="B217" s="695" t="s">
        <v>1172</v>
      </c>
      <c r="C217" s="696" t="s">
        <v>34</v>
      </c>
      <c r="D217" s="687">
        <v>3</v>
      </c>
      <c r="E217" s="732"/>
      <c r="F217" s="682">
        <f t="shared" si="3"/>
        <v>0</v>
      </c>
    </row>
    <row r="218" spans="1:6" ht="15.75">
      <c r="A218" s="694"/>
      <c r="B218" s="695"/>
      <c r="C218" s="696"/>
      <c r="D218" s="687"/>
      <c r="E218" s="732"/>
      <c r="F218" s="682">
        <f t="shared" si="3"/>
        <v>0</v>
      </c>
    </row>
    <row r="219" spans="1:6" ht="165">
      <c r="A219" s="683">
        <f>IF(B219&gt;0,MAX(A137:A218)+1,"")</f>
        <v>8</v>
      </c>
      <c r="B219" s="691" t="s">
        <v>1173</v>
      </c>
      <c r="C219" s="692"/>
      <c r="D219" s="693"/>
      <c r="E219" s="731"/>
      <c r="F219" s="682">
        <f t="shared" si="3"/>
        <v>0</v>
      </c>
    </row>
    <row r="220" spans="1:6" ht="15.75">
      <c r="A220" s="694"/>
      <c r="B220" s="695" t="s">
        <v>1174</v>
      </c>
      <c r="C220" s="696" t="s">
        <v>66</v>
      </c>
      <c r="D220" s="687">
        <v>0</v>
      </c>
      <c r="E220" s="732"/>
      <c r="F220" s="682">
        <f t="shared" si="3"/>
        <v>0</v>
      </c>
    </row>
    <row r="221" spans="1:6" ht="15.75">
      <c r="A221" s="694"/>
      <c r="B221" s="695"/>
      <c r="C221" s="696"/>
      <c r="D221" s="687"/>
      <c r="E221" s="732"/>
      <c r="F221" s="682">
        <f t="shared" si="3"/>
        <v>0</v>
      </c>
    </row>
    <row r="222" spans="1:6" ht="195">
      <c r="A222" s="683">
        <f>IF(B222&gt;0,MAX(A140:A221)+1,"")</f>
        <v>9</v>
      </c>
      <c r="B222" s="691" t="s">
        <v>1175</v>
      </c>
      <c r="C222" s="692"/>
      <c r="D222" s="693"/>
      <c r="E222" s="731"/>
      <c r="F222" s="682">
        <f t="shared" si="3"/>
        <v>0</v>
      </c>
    </row>
    <row r="223" spans="1:6" ht="15.75">
      <c r="A223" s="694"/>
      <c r="B223" s="695" t="s">
        <v>1176</v>
      </c>
      <c r="C223" s="696" t="s">
        <v>34</v>
      </c>
      <c r="D223" s="687">
        <v>1</v>
      </c>
      <c r="E223" s="732"/>
      <c r="F223" s="682">
        <f t="shared" si="3"/>
        <v>0</v>
      </c>
    </row>
    <row r="224" spans="1:6" ht="15">
      <c r="A224" s="711"/>
      <c r="B224" s="695"/>
      <c r="C224" s="692"/>
      <c r="D224" s="693"/>
      <c r="E224" s="731"/>
      <c r="F224" s="682">
        <f t="shared" si="3"/>
        <v>0</v>
      </c>
    </row>
    <row r="225" spans="1:6" ht="15">
      <c r="A225" s="711"/>
      <c r="B225" s="689" t="s">
        <v>1177</v>
      </c>
      <c r="C225" s="692"/>
      <c r="D225" s="693"/>
      <c r="E225" s="731"/>
      <c r="F225" s="682">
        <f t="shared" si="3"/>
        <v>0</v>
      </c>
    </row>
    <row r="226" spans="1:6" ht="15">
      <c r="A226" s="711"/>
      <c r="B226" s="690"/>
      <c r="C226" s="692"/>
      <c r="D226" s="693"/>
      <c r="E226" s="731"/>
      <c r="F226" s="682">
        <f t="shared" si="3"/>
        <v>0</v>
      </c>
    </row>
    <row r="227" spans="1:6" ht="225">
      <c r="A227" s="683">
        <f>IF(B227&gt;0,MAX(A145:A226)+1,"")</f>
        <v>10</v>
      </c>
      <c r="B227" s="712" t="s">
        <v>1178</v>
      </c>
      <c r="E227" s="737"/>
      <c r="F227" s="682">
        <f t="shared" si="3"/>
        <v>0</v>
      </c>
    </row>
    <row r="228" spans="1:6" ht="150">
      <c r="A228" s="688"/>
      <c r="B228" s="712" t="s">
        <v>1179</v>
      </c>
      <c r="E228" s="737"/>
      <c r="F228" s="682">
        <f t="shared" si="3"/>
        <v>0</v>
      </c>
    </row>
    <row r="229" spans="1:6" ht="17.25">
      <c r="A229" s="711"/>
      <c r="B229" s="713" t="s">
        <v>1180</v>
      </c>
      <c r="C229" s="696" t="s">
        <v>1067</v>
      </c>
      <c r="D229" s="687">
        <v>81</v>
      </c>
      <c r="E229" s="732"/>
      <c r="F229" s="682">
        <f t="shared" si="3"/>
        <v>0</v>
      </c>
    </row>
    <row r="230" spans="1:6" ht="17.25">
      <c r="A230" s="711"/>
      <c r="B230" s="713" t="s">
        <v>1181</v>
      </c>
      <c r="C230" s="696" t="s">
        <v>1067</v>
      </c>
      <c r="D230" s="687">
        <v>20</v>
      </c>
      <c r="E230" s="732"/>
      <c r="F230" s="682">
        <f t="shared" si="3"/>
        <v>0</v>
      </c>
    </row>
    <row r="231" spans="1:6" ht="17.25">
      <c r="A231" s="711"/>
      <c r="B231" s="713" t="s">
        <v>1182</v>
      </c>
      <c r="C231" s="696" t="s">
        <v>1067</v>
      </c>
      <c r="D231" s="687">
        <v>101</v>
      </c>
      <c r="E231" s="732"/>
      <c r="F231" s="682">
        <f t="shared" si="3"/>
        <v>0</v>
      </c>
    </row>
    <row r="232" spans="1:6" ht="15">
      <c r="A232" s="711"/>
      <c r="B232" s="713" t="s">
        <v>1183</v>
      </c>
      <c r="C232" s="692" t="s">
        <v>1184</v>
      </c>
      <c r="D232" s="687">
        <v>37</v>
      </c>
      <c r="E232" s="732"/>
      <c r="F232" s="682">
        <f t="shared" si="3"/>
        <v>0</v>
      </c>
    </row>
    <row r="233" spans="1:6" ht="15">
      <c r="A233" s="711"/>
      <c r="B233" s="713"/>
      <c r="C233" s="696"/>
      <c r="D233" s="687"/>
      <c r="E233" s="732"/>
      <c r="F233" s="682">
        <f t="shared" si="3"/>
        <v>0</v>
      </c>
    </row>
    <row r="234" spans="1:6" ht="285">
      <c r="A234" s="683">
        <f>IF(B234&gt;0,MAX(A152:A233)+1,"")</f>
        <v>11</v>
      </c>
      <c r="B234" s="712" t="s">
        <v>1185</v>
      </c>
      <c r="E234" s="737"/>
      <c r="F234" s="682">
        <f t="shared" si="3"/>
        <v>0</v>
      </c>
    </row>
    <row r="235" spans="1:6" ht="17.25">
      <c r="A235" s="711"/>
      <c r="B235" s="713" t="s">
        <v>1186</v>
      </c>
      <c r="C235" s="696" t="s">
        <v>1067</v>
      </c>
      <c r="D235" s="687">
        <v>14</v>
      </c>
      <c r="E235" s="732"/>
      <c r="F235" s="682">
        <f t="shared" si="3"/>
        <v>0</v>
      </c>
    </row>
    <row r="236" spans="1:6" ht="17.25">
      <c r="A236" s="711"/>
      <c r="B236" s="713" t="s">
        <v>1182</v>
      </c>
      <c r="C236" s="696" t="s">
        <v>1067</v>
      </c>
      <c r="D236" s="687">
        <v>14</v>
      </c>
      <c r="E236" s="732"/>
      <c r="F236" s="682">
        <f t="shared" si="3"/>
        <v>0</v>
      </c>
    </row>
    <row r="237" spans="1:6" ht="15">
      <c r="A237" s="711"/>
      <c r="B237" s="713" t="s">
        <v>1183</v>
      </c>
      <c r="C237" s="692" t="s">
        <v>1184</v>
      </c>
      <c r="D237" s="687">
        <v>14</v>
      </c>
      <c r="E237" s="732"/>
      <c r="F237" s="682">
        <f t="shared" si="3"/>
        <v>0</v>
      </c>
    </row>
    <row r="238" spans="1:6" ht="15">
      <c r="A238" s="711"/>
      <c r="B238" s="713"/>
      <c r="C238" s="696"/>
      <c r="D238" s="687"/>
      <c r="E238" s="732"/>
      <c r="F238" s="682">
        <f t="shared" si="3"/>
        <v>0</v>
      </c>
    </row>
    <row r="239" spans="1:6" ht="330">
      <c r="A239" s="683">
        <f>IF(B239&gt;0,MAX(A157:A238)+1,"")</f>
        <v>12</v>
      </c>
      <c r="B239" s="712" t="s">
        <v>1187</v>
      </c>
      <c r="C239" s="696"/>
      <c r="D239" s="687"/>
      <c r="E239" s="732"/>
      <c r="F239" s="682">
        <f t="shared" si="3"/>
        <v>0</v>
      </c>
    </row>
    <row r="240" spans="1:6" ht="17.25">
      <c r="A240" s="711"/>
      <c r="B240" s="713" t="s">
        <v>1180</v>
      </c>
      <c r="C240" s="696" t="s">
        <v>1067</v>
      </c>
      <c r="D240" s="687">
        <v>52</v>
      </c>
      <c r="E240" s="732"/>
      <c r="F240" s="682">
        <f t="shared" si="3"/>
        <v>0</v>
      </c>
    </row>
    <row r="241" spans="1:6" ht="17.25">
      <c r="A241" s="711"/>
      <c r="B241" s="713" t="s">
        <v>1181</v>
      </c>
      <c r="C241" s="696" t="s">
        <v>1067</v>
      </c>
      <c r="D241" s="687">
        <v>13</v>
      </c>
      <c r="E241" s="732"/>
      <c r="F241" s="682">
        <f t="shared" si="3"/>
        <v>0</v>
      </c>
    </row>
    <row r="242" spans="1:6" ht="17.25">
      <c r="A242" s="711"/>
      <c r="B242" s="713" t="s">
        <v>1182</v>
      </c>
      <c r="C242" s="696" t="s">
        <v>1067</v>
      </c>
      <c r="D242" s="687">
        <v>65</v>
      </c>
      <c r="E242" s="732"/>
      <c r="F242" s="682">
        <f t="shared" si="3"/>
        <v>0</v>
      </c>
    </row>
    <row r="243" spans="1:6" ht="15">
      <c r="A243" s="711"/>
      <c r="B243" s="713" t="s">
        <v>1188</v>
      </c>
      <c r="C243" s="692" t="s">
        <v>1184</v>
      </c>
      <c r="D243" s="687">
        <v>24</v>
      </c>
      <c r="E243" s="732"/>
      <c r="F243" s="682">
        <f t="shared" si="3"/>
        <v>0</v>
      </c>
    </row>
    <row r="244" spans="1:6" ht="15">
      <c r="A244" s="711"/>
      <c r="B244" s="713"/>
      <c r="C244" s="696"/>
      <c r="D244" s="687"/>
      <c r="E244" s="732"/>
      <c r="F244" s="682">
        <f t="shared" si="3"/>
        <v>0</v>
      </c>
    </row>
    <row r="245" spans="1:6" ht="360">
      <c r="A245" s="683">
        <f>IF(B245&gt;0,MAX(A163:A244)+1,"")</f>
        <v>13</v>
      </c>
      <c r="B245" s="712" t="s">
        <v>1189</v>
      </c>
      <c r="C245" s="696"/>
      <c r="D245" s="687"/>
      <c r="E245" s="732"/>
      <c r="F245" s="682">
        <f t="shared" si="3"/>
        <v>0</v>
      </c>
    </row>
    <row r="246" spans="1:6" ht="17.25">
      <c r="A246" s="711"/>
      <c r="B246" s="713" t="s">
        <v>1190</v>
      </c>
      <c r="C246" s="696" t="s">
        <v>1067</v>
      </c>
      <c r="D246" s="687">
        <v>26</v>
      </c>
      <c r="E246" s="732"/>
      <c r="F246" s="682">
        <f t="shared" si="3"/>
        <v>0</v>
      </c>
    </row>
    <row r="247" spans="1:6" ht="17.25">
      <c r="A247" s="711"/>
      <c r="B247" s="713" t="s">
        <v>1191</v>
      </c>
      <c r="C247" s="696" t="s">
        <v>1067</v>
      </c>
      <c r="D247" s="687">
        <v>26</v>
      </c>
      <c r="E247" s="732"/>
      <c r="F247" s="682">
        <f t="shared" si="3"/>
        <v>0</v>
      </c>
    </row>
    <row r="248" spans="1:6" ht="17.25">
      <c r="A248" s="711"/>
      <c r="B248" s="713" t="s">
        <v>1182</v>
      </c>
      <c r="C248" s="696" t="s">
        <v>1067</v>
      </c>
      <c r="D248" s="687">
        <v>52</v>
      </c>
      <c r="E248" s="732"/>
      <c r="F248" s="682">
        <f t="shared" si="3"/>
        <v>0</v>
      </c>
    </row>
    <row r="249" spans="1:6" ht="15">
      <c r="A249" s="711"/>
      <c r="B249" s="713" t="s">
        <v>1188</v>
      </c>
      <c r="C249" s="692" t="s">
        <v>1184</v>
      </c>
      <c r="D249" s="687">
        <v>23</v>
      </c>
      <c r="E249" s="732"/>
      <c r="F249" s="682">
        <f t="shared" si="3"/>
        <v>0</v>
      </c>
    </row>
    <row r="250" spans="1:6" ht="15">
      <c r="A250" s="711"/>
      <c r="B250" s="713"/>
      <c r="C250" s="696"/>
      <c r="D250" s="687"/>
      <c r="E250" s="732"/>
      <c r="F250" s="682">
        <f t="shared" si="3"/>
        <v>0</v>
      </c>
    </row>
    <row r="251" spans="1:6" ht="316.5">
      <c r="A251" s="683">
        <f>IF(B251&gt;0,MAX(A169:A250)+1,"")</f>
        <v>14</v>
      </c>
      <c r="B251" s="712" t="s">
        <v>1192</v>
      </c>
      <c r="C251" s="696"/>
      <c r="D251" s="687"/>
      <c r="E251" s="732"/>
      <c r="F251" s="682">
        <f t="shared" si="3"/>
        <v>0</v>
      </c>
    </row>
    <row r="252" spans="1:6" ht="17.25">
      <c r="A252" s="711"/>
      <c r="B252" s="713" t="s">
        <v>1180</v>
      </c>
      <c r="C252" s="696" t="s">
        <v>1067</v>
      </c>
      <c r="D252" s="687">
        <v>29</v>
      </c>
      <c r="E252" s="732"/>
      <c r="F252" s="682">
        <f t="shared" si="3"/>
        <v>0</v>
      </c>
    </row>
    <row r="253" spans="1:6" ht="17.25">
      <c r="A253" s="711"/>
      <c r="B253" s="713" t="s">
        <v>1181</v>
      </c>
      <c r="C253" s="696" t="s">
        <v>1067</v>
      </c>
      <c r="D253" s="687">
        <v>7</v>
      </c>
      <c r="E253" s="732"/>
      <c r="F253" s="682">
        <f t="shared" si="3"/>
        <v>0</v>
      </c>
    </row>
    <row r="254" spans="1:6" ht="17.25">
      <c r="A254" s="711"/>
      <c r="B254" s="713" t="s">
        <v>1193</v>
      </c>
      <c r="C254" s="696" t="s">
        <v>1067</v>
      </c>
      <c r="D254" s="687">
        <v>37</v>
      </c>
      <c r="E254" s="732"/>
      <c r="F254" s="682">
        <f t="shared" si="3"/>
        <v>0</v>
      </c>
    </row>
    <row r="255" spans="1:6" ht="15">
      <c r="A255" s="711"/>
      <c r="B255" s="713" t="s">
        <v>1188</v>
      </c>
      <c r="C255" s="692" t="s">
        <v>1184</v>
      </c>
      <c r="D255" s="687">
        <v>21</v>
      </c>
      <c r="E255" s="732"/>
      <c r="F255" s="682">
        <f t="shared" si="3"/>
        <v>0</v>
      </c>
    </row>
    <row r="256" spans="1:6" ht="15">
      <c r="A256" s="711"/>
      <c r="B256" s="713"/>
      <c r="C256" s="696"/>
      <c r="D256" s="687"/>
      <c r="E256" s="732"/>
      <c r="F256" s="682">
        <f t="shared" si="3"/>
        <v>0</v>
      </c>
    </row>
    <row r="257" spans="1:6" ht="135">
      <c r="A257" s="683">
        <f>IF(B257&gt;0,MAX(A175:A256)+1,"")</f>
        <v>15</v>
      </c>
      <c r="B257" s="712" t="s">
        <v>1194</v>
      </c>
      <c r="C257" s="696"/>
      <c r="D257" s="687"/>
      <c r="E257" s="732"/>
      <c r="F257" s="682">
        <f t="shared" si="3"/>
        <v>0</v>
      </c>
    </row>
    <row r="258" spans="1:6" ht="270">
      <c r="A258" s="704"/>
      <c r="B258" s="712" t="s">
        <v>1195</v>
      </c>
      <c r="C258" s="696"/>
      <c r="D258" s="687"/>
      <c r="E258" s="732"/>
      <c r="F258" s="682">
        <f t="shared" si="3"/>
        <v>0</v>
      </c>
    </row>
    <row r="259" spans="1:6" ht="17.25">
      <c r="A259" s="711"/>
      <c r="B259" s="713" t="s">
        <v>1196</v>
      </c>
      <c r="C259" s="696" t="s">
        <v>1067</v>
      </c>
      <c r="D259" s="687">
        <v>82</v>
      </c>
      <c r="E259" s="732"/>
      <c r="F259" s="682">
        <f t="shared" si="3"/>
        <v>0</v>
      </c>
    </row>
    <row r="260" spans="1:6" ht="17.25">
      <c r="A260" s="697"/>
      <c r="B260" s="713" t="s">
        <v>1197</v>
      </c>
      <c r="C260" s="696" t="s">
        <v>1067</v>
      </c>
      <c r="D260" s="687">
        <v>37</v>
      </c>
      <c r="E260" s="732"/>
      <c r="F260" s="682">
        <f t="shared" si="3"/>
        <v>0</v>
      </c>
    </row>
    <row r="261" spans="1:6" ht="15.75">
      <c r="A261" s="697"/>
      <c r="B261" s="713" t="s">
        <v>1198</v>
      </c>
      <c r="C261" s="696" t="s">
        <v>34</v>
      </c>
      <c r="D261" s="687">
        <v>1</v>
      </c>
      <c r="E261" s="732"/>
      <c r="F261" s="682">
        <f t="shared" si="3"/>
        <v>0</v>
      </c>
    </row>
    <row r="262" spans="1:6" ht="15.75">
      <c r="A262" s="697"/>
      <c r="B262" s="713" t="s">
        <v>1199</v>
      </c>
      <c r="C262" s="696" t="s">
        <v>34</v>
      </c>
      <c r="D262" s="687">
        <v>1</v>
      </c>
      <c r="E262" s="732"/>
      <c r="F262" s="682">
        <f t="shared" si="3"/>
        <v>0</v>
      </c>
    </row>
    <row r="263" spans="1:6" ht="15.75">
      <c r="A263" s="697"/>
      <c r="B263" s="713"/>
      <c r="C263" s="696"/>
      <c r="D263" s="687"/>
      <c r="E263" s="732"/>
      <c r="F263" s="682">
        <f t="shared" si="3"/>
        <v>0</v>
      </c>
    </row>
    <row r="264" spans="1:6" ht="15">
      <c r="A264" s="683">
        <f>IF(B264&gt;0,MAX(A182:A263)+1,"")</f>
        <v>16</v>
      </c>
      <c r="B264" s="713" t="s">
        <v>1200</v>
      </c>
      <c r="C264" s="696"/>
      <c r="D264" s="687"/>
      <c r="E264" s="732"/>
      <c r="F264" s="682">
        <f t="shared" si="3"/>
        <v>0</v>
      </c>
    </row>
    <row r="265" spans="1:6" ht="360">
      <c r="A265" s="711"/>
      <c r="B265" s="713" t="s">
        <v>1201</v>
      </c>
      <c r="F265" s="682">
        <f t="shared" ref="F265:F331" si="4">D265*E265</f>
        <v>0</v>
      </c>
    </row>
    <row r="266" spans="1:6" ht="15">
      <c r="A266" s="711"/>
      <c r="B266" s="713" t="s">
        <v>1202</v>
      </c>
      <c r="C266" s="696" t="s">
        <v>34</v>
      </c>
      <c r="D266" s="687">
        <v>1</v>
      </c>
      <c r="E266" s="732"/>
      <c r="F266" s="682">
        <f t="shared" si="4"/>
        <v>0</v>
      </c>
    </row>
    <row r="267" spans="1:6" ht="15">
      <c r="A267" s="711"/>
      <c r="B267" s="713"/>
      <c r="C267" s="696"/>
      <c r="D267" s="687"/>
      <c r="E267" s="732"/>
      <c r="F267" s="682">
        <f t="shared" si="4"/>
        <v>0</v>
      </c>
    </row>
    <row r="268" spans="1:6" ht="15">
      <c r="A268" s="683">
        <f>IF(B268&gt;0,MAX(A186:A267)+1,"")</f>
        <v>17</v>
      </c>
      <c r="B268" s="713" t="s">
        <v>1203</v>
      </c>
      <c r="C268" s="696"/>
      <c r="D268" s="687"/>
      <c r="E268" s="732"/>
      <c r="F268" s="682">
        <f t="shared" si="4"/>
        <v>0</v>
      </c>
    </row>
    <row r="269" spans="1:6" ht="240">
      <c r="A269" s="711"/>
      <c r="B269" s="713" t="s">
        <v>1204</v>
      </c>
      <c r="F269" s="682">
        <f t="shared" si="4"/>
        <v>0</v>
      </c>
    </row>
    <row r="270" spans="1:6" ht="120">
      <c r="A270" s="711"/>
      <c r="B270" s="713" t="s">
        <v>1205</v>
      </c>
      <c r="F270" s="682">
        <f t="shared" si="4"/>
        <v>0</v>
      </c>
    </row>
    <row r="271" spans="1:6" ht="15.75">
      <c r="A271" s="697"/>
      <c r="B271" s="713" t="s">
        <v>1206</v>
      </c>
      <c r="C271" s="696" t="s">
        <v>34</v>
      </c>
      <c r="D271" s="687">
        <v>1</v>
      </c>
      <c r="E271" s="732"/>
      <c r="F271" s="682">
        <f t="shared" si="4"/>
        <v>0</v>
      </c>
    </row>
    <row r="272" spans="1:6" ht="15">
      <c r="A272" s="711"/>
      <c r="B272" s="713"/>
      <c r="C272" s="696"/>
      <c r="D272" s="687"/>
      <c r="E272" s="732"/>
      <c r="F272" s="682">
        <f t="shared" si="4"/>
        <v>0</v>
      </c>
    </row>
    <row r="273" spans="1:6" ht="15">
      <c r="A273" s="683">
        <f>IF(B273&gt;0,MAX(A191:A272)+1,"")</f>
        <v>18</v>
      </c>
      <c r="B273" s="713" t="s">
        <v>1207</v>
      </c>
      <c r="C273" s="696"/>
      <c r="D273" s="687"/>
      <c r="E273" s="732"/>
      <c r="F273" s="682">
        <f t="shared" si="4"/>
        <v>0</v>
      </c>
    </row>
    <row r="274" spans="1:6" ht="225">
      <c r="A274" s="711"/>
      <c r="B274" s="713" t="s">
        <v>1208</v>
      </c>
      <c r="F274" s="682">
        <f t="shared" si="4"/>
        <v>0</v>
      </c>
    </row>
    <row r="275" spans="1:6" ht="90">
      <c r="A275" s="711"/>
      <c r="B275" s="713" t="s">
        <v>1209</v>
      </c>
      <c r="F275" s="682">
        <f t="shared" si="4"/>
        <v>0</v>
      </c>
    </row>
    <row r="276" spans="1:6" ht="15.75">
      <c r="A276" s="697"/>
      <c r="B276" s="713" t="s">
        <v>1210</v>
      </c>
      <c r="C276" s="696" t="s">
        <v>34</v>
      </c>
      <c r="D276" s="687">
        <v>2</v>
      </c>
      <c r="E276" s="732"/>
      <c r="F276" s="682">
        <f t="shared" si="4"/>
        <v>0</v>
      </c>
    </row>
    <row r="277" spans="1:6" ht="15.75">
      <c r="A277" s="697"/>
      <c r="B277" s="713"/>
      <c r="C277" s="696"/>
      <c r="D277" s="687"/>
      <c r="E277" s="732"/>
      <c r="F277" s="682">
        <f t="shared" si="4"/>
        <v>0</v>
      </c>
    </row>
    <row r="278" spans="1:6" ht="15">
      <c r="A278" s="683">
        <f>IF(B278&gt;0,MAX(A196:A277)+1,"")</f>
        <v>19</v>
      </c>
      <c r="B278" s="713" t="s">
        <v>1211</v>
      </c>
      <c r="C278" s="696"/>
      <c r="D278" s="687"/>
      <c r="E278" s="732"/>
      <c r="F278" s="682">
        <f t="shared" si="4"/>
        <v>0</v>
      </c>
    </row>
    <row r="279" spans="1:6" ht="225">
      <c r="A279" s="711"/>
      <c r="B279" s="713" t="s">
        <v>1212</v>
      </c>
      <c r="F279" s="682">
        <f t="shared" si="4"/>
        <v>0</v>
      </c>
    </row>
    <row r="280" spans="1:6" ht="90">
      <c r="A280" s="711"/>
      <c r="B280" s="713" t="s">
        <v>1209</v>
      </c>
      <c r="F280" s="682">
        <f t="shared" si="4"/>
        <v>0</v>
      </c>
    </row>
    <row r="281" spans="1:6" ht="15.75">
      <c r="A281" s="697"/>
      <c r="B281" s="713" t="s">
        <v>1213</v>
      </c>
      <c r="C281" s="696" t="s">
        <v>34</v>
      </c>
      <c r="D281" s="687">
        <v>1</v>
      </c>
      <c r="E281" s="732"/>
      <c r="F281" s="682">
        <f t="shared" si="4"/>
        <v>0</v>
      </c>
    </row>
    <row r="282" spans="1:6" ht="15.75">
      <c r="A282" s="697"/>
      <c r="B282" s="713" t="s">
        <v>1214</v>
      </c>
      <c r="C282" s="696" t="s">
        <v>34</v>
      </c>
      <c r="D282" s="687">
        <v>1</v>
      </c>
      <c r="E282" s="732"/>
      <c r="F282" s="682">
        <f t="shared" si="4"/>
        <v>0</v>
      </c>
    </row>
    <row r="283" spans="1:6" ht="15.75">
      <c r="A283" s="697"/>
      <c r="B283" s="713"/>
      <c r="C283" s="696"/>
      <c r="D283" s="687"/>
      <c r="E283" s="732"/>
      <c r="F283" s="682">
        <f t="shared" si="4"/>
        <v>0</v>
      </c>
    </row>
    <row r="284" spans="1:6" ht="15">
      <c r="A284" s="683">
        <f>IF(B284&gt;0,MAX(A202:A283)+1,"")</f>
        <v>20</v>
      </c>
      <c r="B284" s="713" t="s">
        <v>1215</v>
      </c>
      <c r="C284" s="696"/>
      <c r="D284" s="687"/>
      <c r="E284" s="732"/>
      <c r="F284" s="682">
        <f t="shared" si="4"/>
        <v>0</v>
      </c>
    </row>
    <row r="285" spans="1:6" ht="240">
      <c r="A285" s="711"/>
      <c r="B285" s="713" t="s">
        <v>1216</v>
      </c>
      <c r="F285" s="682">
        <f t="shared" si="4"/>
        <v>0</v>
      </c>
    </row>
    <row r="286" spans="1:6" ht="90">
      <c r="A286" s="711"/>
      <c r="B286" s="713" t="s">
        <v>1209</v>
      </c>
      <c r="F286" s="682">
        <f t="shared" si="4"/>
        <v>0</v>
      </c>
    </row>
    <row r="287" spans="1:6" ht="15.75">
      <c r="A287" s="697"/>
      <c r="B287" s="713" t="s">
        <v>1217</v>
      </c>
      <c r="C287" s="696" t="s">
        <v>34</v>
      </c>
      <c r="D287" s="687">
        <v>1</v>
      </c>
      <c r="E287" s="732"/>
      <c r="F287" s="682">
        <f t="shared" si="4"/>
        <v>0</v>
      </c>
    </row>
    <row r="288" spans="1:6" ht="15.75">
      <c r="A288" s="697"/>
      <c r="B288" s="713"/>
      <c r="C288" s="696"/>
      <c r="D288" s="687"/>
      <c r="E288" s="732"/>
      <c r="F288" s="682">
        <f t="shared" si="4"/>
        <v>0</v>
      </c>
    </row>
    <row r="289" spans="1:6" ht="15">
      <c r="A289" s="683">
        <f>IF(B289&gt;0,MAX(A207:A288)+1,"")</f>
        <v>21</v>
      </c>
      <c r="B289" s="713" t="s">
        <v>1218</v>
      </c>
      <c r="C289" s="696"/>
      <c r="D289" s="687"/>
      <c r="E289" s="732"/>
      <c r="F289" s="682">
        <f t="shared" si="4"/>
        <v>0</v>
      </c>
    </row>
    <row r="290" spans="1:6" ht="240">
      <c r="A290" s="711"/>
      <c r="B290" s="713" t="s">
        <v>1219</v>
      </c>
      <c r="F290" s="682">
        <f t="shared" si="4"/>
        <v>0</v>
      </c>
    </row>
    <row r="291" spans="1:6" ht="75">
      <c r="A291" s="711"/>
      <c r="B291" s="713" t="s">
        <v>1220</v>
      </c>
      <c r="F291" s="682">
        <f t="shared" si="4"/>
        <v>0</v>
      </c>
    </row>
    <row r="292" spans="1:6" ht="90">
      <c r="A292" s="711"/>
      <c r="B292" s="713" t="s">
        <v>1209</v>
      </c>
      <c r="F292" s="682">
        <f t="shared" si="4"/>
        <v>0</v>
      </c>
    </row>
    <row r="293" spans="1:6" ht="15.75">
      <c r="A293" s="697"/>
      <c r="B293" s="713" t="s">
        <v>1221</v>
      </c>
      <c r="C293" s="696" t="s">
        <v>34</v>
      </c>
      <c r="D293" s="687">
        <v>1</v>
      </c>
      <c r="E293" s="732"/>
      <c r="F293" s="682">
        <f t="shared" si="4"/>
        <v>0</v>
      </c>
    </row>
    <row r="294" spans="1:6" ht="15.75">
      <c r="A294" s="697"/>
      <c r="B294" s="713"/>
      <c r="C294" s="696"/>
      <c r="D294" s="687"/>
      <c r="E294" s="732"/>
      <c r="F294" s="682">
        <f t="shared" si="4"/>
        <v>0</v>
      </c>
    </row>
    <row r="295" spans="1:6" ht="15">
      <c r="A295" s="683">
        <f>IF(B295&gt;0,MAX(A213:A294)+1,"")</f>
        <v>22</v>
      </c>
      <c r="B295" s="713" t="s">
        <v>1222</v>
      </c>
      <c r="C295" s="696"/>
      <c r="D295" s="687"/>
      <c r="E295" s="732"/>
      <c r="F295" s="682">
        <f t="shared" si="4"/>
        <v>0</v>
      </c>
    </row>
    <row r="296" spans="1:6" ht="270">
      <c r="A296" s="711"/>
      <c r="B296" s="713" t="s">
        <v>1223</v>
      </c>
      <c r="F296" s="682">
        <f t="shared" si="4"/>
        <v>0</v>
      </c>
    </row>
    <row r="297" spans="1:6" ht="90">
      <c r="A297" s="711"/>
      <c r="B297" s="713" t="s">
        <v>1209</v>
      </c>
      <c r="F297" s="682">
        <f t="shared" si="4"/>
        <v>0</v>
      </c>
    </row>
    <row r="298" spans="1:6" ht="15.75">
      <c r="A298" s="697"/>
      <c r="B298" s="713" t="s">
        <v>1224</v>
      </c>
      <c r="C298" s="696" t="s">
        <v>34</v>
      </c>
      <c r="D298" s="687">
        <v>2</v>
      </c>
      <c r="E298" s="732"/>
      <c r="F298" s="682">
        <f t="shared" si="4"/>
        <v>0</v>
      </c>
    </row>
    <row r="299" spans="1:6" ht="15.75">
      <c r="A299" s="697"/>
      <c r="B299" s="713"/>
      <c r="C299" s="696"/>
      <c r="D299" s="687"/>
      <c r="E299" s="732"/>
      <c r="F299" s="682">
        <f t="shared" si="4"/>
        <v>0</v>
      </c>
    </row>
    <row r="300" spans="1:6" ht="15">
      <c r="A300" s="683">
        <f>IF(B300&gt;0,MAX(A218:A299)+1,"")</f>
        <v>23</v>
      </c>
      <c r="B300" s="713" t="s">
        <v>1225</v>
      </c>
      <c r="C300" s="696"/>
      <c r="D300" s="687"/>
      <c r="E300" s="732"/>
      <c r="F300" s="682">
        <f t="shared" si="4"/>
        <v>0</v>
      </c>
    </row>
    <row r="301" spans="1:6" ht="255">
      <c r="A301" s="711"/>
      <c r="B301" s="713" t="s">
        <v>1226</v>
      </c>
      <c r="F301" s="682">
        <f t="shared" si="4"/>
        <v>0</v>
      </c>
    </row>
    <row r="302" spans="1:6" ht="90">
      <c r="A302" s="711"/>
      <c r="B302" s="713" t="s">
        <v>1209</v>
      </c>
      <c r="F302" s="682">
        <f t="shared" si="4"/>
        <v>0</v>
      </c>
    </row>
    <row r="303" spans="1:6" ht="15.75">
      <c r="A303" s="697"/>
      <c r="B303" s="713" t="s">
        <v>1227</v>
      </c>
      <c r="C303" s="696" t="s">
        <v>34</v>
      </c>
      <c r="D303" s="687">
        <v>1</v>
      </c>
      <c r="E303" s="732"/>
      <c r="F303" s="682">
        <f t="shared" si="4"/>
        <v>0</v>
      </c>
    </row>
    <row r="304" spans="1:6" ht="15.75">
      <c r="A304" s="697"/>
      <c r="B304" s="713"/>
      <c r="C304" s="696"/>
      <c r="D304" s="687"/>
      <c r="E304" s="732"/>
      <c r="F304" s="682">
        <f t="shared" si="4"/>
        <v>0</v>
      </c>
    </row>
    <row r="305" spans="1:6" ht="15">
      <c r="A305" s="683">
        <f>IF(B305&gt;0,MAX(A223:A304)+1,"")</f>
        <v>24</v>
      </c>
      <c r="B305" s="713" t="s">
        <v>1228</v>
      </c>
      <c r="C305" s="696"/>
      <c r="D305" s="687"/>
      <c r="E305" s="732"/>
      <c r="F305" s="682">
        <f t="shared" si="4"/>
        <v>0</v>
      </c>
    </row>
    <row r="306" spans="1:6" ht="225">
      <c r="A306" s="711"/>
      <c r="B306" s="713" t="s">
        <v>1229</v>
      </c>
      <c r="F306" s="682">
        <f t="shared" si="4"/>
        <v>0</v>
      </c>
    </row>
    <row r="307" spans="1:6" ht="15.75">
      <c r="A307" s="697"/>
      <c r="B307" s="713"/>
      <c r="C307" s="692" t="s">
        <v>1184</v>
      </c>
      <c r="D307" s="687">
        <v>28</v>
      </c>
      <c r="E307" s="732"/>
      <c r="F307" s="682">
        <f t="shared" si="4"/>
        <v>0</v>
      </c>
    </row>
    <row r="308" spans="1:6" ht="15.75">
      <c r="A308" s="697"/>
      <c r="B308" s="713"/>
      <c r="C308" s="692"/>
      <c r="D308" s="687"/>
      <c r="E308" s="732"/>
      <c r="F308" s="682">
        <f t="shared" si="4"/>
        <v>0</v>
      </c>
    </row>
    <row r="309" spans="1:6" ht="15">
      <c r="A309" s="683">
        <f>IF(B309&gt;0,MAX(A227:A308)+1,"")</f>
        <v>25</v>
      </c>
      <c r="B309" s="713" t="s">
        <v>1230</v>
      </c>
      <c r="C309" s="692"/>
      <c r="D309" s="687"/>
      <c r="E309" s="732"/>
      <c r="F309" s="682">
        <f t="shared" si="4"/>
        <v>0</v>
      </c>
    </row>
    <row r="310" spans="1:6" ht="210">
      <c r="A310" s="697"/>
      <c r="B310" s="713" t="s">
        <v>1231</v>
      </c>
      <c r="C310" s="692"/>
      <c r="D310" s="687"/>
      <c r="E310" s="732"/>
      <c r="F310" s="682">
        <f t="shared" si="4"/>
        <v>0</v>
      </c>
    </row>
    <row r="311" spans="1:6" ht="15.75">
      <c r="A311" s="697"/>
      <c r="B311" s="713" t="s">
        <v>1232</v>
      </c>
      <c r="C311" s="692" t="s">
        <v>1184</v>
      </c>
      <c r="D311" s="687">
        <v>6</v>
      </c>
      <c r="E311" s="732"/>
      <c r="F311" s="682">
        <f t="shared" si="4"/>
        <v>0</v>
      </c>
    </row>
    <row r="312" spans="1:6" ht="15.75">
      <c r="A312" s="697"/>
      <c r="B312" s="713"/>
      <c r="C312" s="692"/>
      <c r="D312" s="687"/>
      <c r="E312" s="732"/>
      <c r="F312" s="682">
        <f t="shared" si="4"/>
        <v>0</v>
      </c>
    </row>
    <row r="313" spans="1:6" ht="30">
      <c r="A313" s="683">
        <f>IF(B313&gt;0,MAX(A231:A312)+1,"")</f>
        <v>26</v>
      </c>
      <c r="B313" s="713" t="s">
        <v>5607</v>
      </c>
      <c r="C313" s="692"/>
      <c r="D313" s="687"/>
      <c r="E313" s="732"/>
      <c r="F313" s="682"/>
    </row>
    <row r="314" spans="1:6" ht="195">
      <c r="A314" s="697"/>
      <c r="B314" s="713" t="s">
        <v>5570</v>
      </c>
      <c r="C314" s="692"/>
      <c r="D314" s="687"/>
      <c r="E314" s="732"/>
      <c r="F314" s="682">
        <f t="shared" si="4"/>
        <v>0</v>
      </c>
    </row>
    <row r="315" spans="1:6" ht="15.75">
      <c r="A315" s="697"/>
      <c r="B315" s="713"/>
      <c r="C315" s="692" t="s">
        <v>34</v>
      </c>
      <c r="D315" s="687">
        <v>1</v>
      </c>
      <c r="E315" s="732"/>
      <c r="F315" s="682">
        <f t="shared" si="4"/>
        <v>0</v>
      </c>
    </row>
    <row r="316" spans="1:6" ht="15.75">
      <c r="A316" s="697"/>
      <c r="B316" s="689" t="s">
        <v>1233</v>
      </c>
      <c r="C316" s="714"/>
      <c r="D316" s="715"/>
      <c r="E316" s="735"/>
      <c r="F316" s="682">
        <f t="shared" si="4"/>
        <v>0</v>
      </c>
    </row>
    <row r="317" spans="1:6" ht="15.75">
      <c r="A317" s="697"/>
      <c r="B317" s="690"/>
      <c r="C317" s="714"/>
      <c r="D317" s="715"/>
      <c r="E317" s="735"/>
      <c r="F317" s="682">
        <f t="shared" si="4"/>
        <v>0</v>
      </c>
    </row>
    <row r="318" spans="1:6" ht="375">
      <c r="A318" s="683">
        <f>IF(B318&gt;0,MAX(A233:A317)+1,"")</f>
        <v>27</v>
      </c>
      <c r="B318" s="712" t="s">
        <v>1234</v>
      </c>
      <c r="C318" s="696"/>
      <c r="D318" s="687"/>
      <c r="E318" s="732"/>
      <c r="F318" s="682">
        <f t="shared" si="4"/>
        <v>0</v>
      </c>
    </row>
    <row r="319" spans="1:6" ht="15.75">
      <c r="A319" s="716"/>
      <c r="B319" s="713" t="s">
        <v>1235</v>
      </c>
      <c r="C319" s="696" t="s">
        <v>1043</v>
      </c>
      <c r="D319" s="701">
        <v>1</v>
      </c>
      <c r="E319" s="735"/>
      <c r="F319" s="682">
        <f t="shared" si="4"/>
        <v>0</v>
      </c>
    </row>
    <row r="320" spans="1:6" ht="15.75">
      <c r="A320" s="716"/>
      <c r="B320" s="713" t="s">
        <v>1236</v>
      </c>
      <c r="C320" s="696" t="s">
        <v>1043</v>
      </c>
      <c r="D320" s="701">
        <v>1</v>
      </c>
      <c r="E320" s="735"/>
      <c r="F320" s="682">
        <f t="shared" si="4"/>
        <v>0</v>
      </c>
    </row>
    <row r="321" spans="1:6" ht="30">
      <c r="A321" s="716"/>
      <c r="B321" s="713" t="s">
        <v>1237</v>
      </c>
      <c r="C321" s="696" t="s">
        <v>1043</v>
      </c>
      <c r="D321" s="701">
        <v>1</v>
      </c>
      <c r="E321" s="735"/>
      <c r="F321" s="682">
        <f t="shared" si="4"/>
        <v>0</v>
      </c>
    </row>
    <row r="322" spans="1:6" ht="30">
      <c r="A322" s="716"/>
      <c r="B322" s="713" t="s">
        <v>1238</v>
      </c>
      <c r="C322" s="696" t="s">
        <v>1043</v>
      </c>
      <c r="D322" s="701">
        <v>1</v>
      </c>
      <c r="E322" s="735"/>
      <c r="F322" s="682">
        <f t="shared" si="4"/>
        <v>0</v>
      </c>
    </row>
    <row r="323" spans="1:6" ht="15.75">
      <c r="A323" s="716"/>
      <c r="B323" s="713"/>
      <c r="C323" s="696"/>
      <c r="D323" s="701"/>
      <c r="E323" s="735"/>
      <c r="F323" s="682">
        <f t="shared" si="4"/>
        <v>0</v>
      </c>
    </row>
    <row r="324" spans="1:6" ht="15.75">
      <c r="A324" s="716"/>
      <c r="B324" s="689" t="s">
        <v>1239</v>
      </c>
      <c r="C324" s="696"/>
      <c r="D324" s="701"/>
      <c r="E324" s="735"/>
      <c r="F324" s="682">
        <f t="shared" si="4"/>
        <v>0</v>
      </c>
    </row>
    <row r="325" spans="1:6" ht="15.75">
      <c r="A325" s="716"/>
      <c r="B325" s="690"/>
      <c r="C325" s="696"/>
      <c r="D325" s="701"/>
      <c r="E325" s="735"/>
      <c r="F325" s="682">
        <f t="shared" si="4"/>
        <v>0</v>
      </c>
    </row>
    <row r="326" spans="1:6" ht="315">
      <c r="A326" s="683">
        <f>IF(B326&gt;0,MAX(A241:A325)+1,"")</f>
        <v>28</v>
      </c>
      <c r="B326" s="712" t="s">
        <v>5530</v>
      </c>
      <c r="C326" s="696"/>
      <c r="D326" s="687"/>
      <c r="E326" s="732"/>
      <c r="F326" s="682">
        <f t="shared" si="4"/>
        <v>0</v>
      </c>
    </row>
    <row r="327" spans="1:6" ht="210">
      <c r="A327" s="688"/>
      <c r="B327" s="712" t="s">
        <v>1240</v>
      </c>
      <c r="C327" s="696"/>
      <c r="D327" s="687"/>
      <c r="E327" s="732"/>
      <c r="F327" s="682">
        <f t="shared" si="4"/>
        <v>0</v>
      </c>
    </row>
    <row r="328" spans="1:6" ht="15.75">
      <c r="A328" s="716"/>
      <c r="C328" s="696" t="s">
        <v>1043</v>
      </c>
      <c r="D328" s="701">
        <v>1</v>
      </c>
      <c r="E328" s="735"/>
      <c r="F328" s="682">
        <f t="shared" si="4"/>
        <v>0</v>
      </c>
    </row>
    <row r="329" spans="1:6" ht="15.75">
      <c r="A329" s="716"/>
      <c r="B329" s="712"/>
      <c r="C329" s="696"/>
      <c r="D329" s="701"/>
      <c r="E329" s="735"/>
      <c r="F329" s="682">
        <f t="shared" si="4"/>
        <v>0</v>
      </c>
    </row>
    <row r="330" spans="1:6" ht="361.5">
      <c r="A330" s="683">
        <f>IF(B330&gt;0,MAX(A245:A329)+1,"")</f>
        <v>29</v>
      </c>
      <c r="B330" s="712" t="s">
        <v>1241</v>
      </c>
      <c r="C330" s="696"/>
      <c r="D330" s="701"/>
      <c r="E330" s="735"/>
      <c r="F330" s="682">
        <f t="shared" si="4"/>
        <v>0</v>
      </c>
    </row>
    <row r="331" spans="1:6" ht="15.75">
      <c r="A331" s="716"/>
      <c r="B331" s="712"/>
      <c r="C331" s="696" t="s">
        <v>34</v>
      </c>
      <c r="D331" s="701">
        <v>2</v>
      </c>
      <c r="E331" s="735"/>
      <c r="F331" s="682">
        <f t="shared" si="4"/>
        <v>0</v>
      </c>
    </row>
    <row r="332" spans="1:6" ht="15.75">
      <c r="A332" s="716"/>
      <c r="B332" s="713"/>
      <c r="C332" s="696"/>
      <c r="D332" s="701"/>
      <c r="E332" s="735"/>
      <c r="F332" s="682">
        <f t="shared" ref="F332:F377" si="5">D332*E332</f>
        <v>0</v>
      </c>
    </row>
    <row r="333" spans="1:6" ht="405">
      <c r="A333" s="683">
        <f>IF(B333&gt;0,MAX(A248:A332)+1,"")</f>
        <v>30</v>
      </c>
      <c r="B333" s="712" t="s">
        <v>1242</v>
      </c>
      <c r="C333" s="696"/>
      <c r="D333" s="687"/>
      <c r="E333" s="732"/>
      <c r="F333" s="682">
        <f t="shared" si="5"/>
        <v>0</v>
      </c>
    </row>
    <row r="334" spans="1:6" ht="15.75">
      <c r="A334" s="716"/>
      <c r="B334" s="713" t="s">
        <v>1243</v>
      </c>
      <c r="C334" s="696" t="s">
        <v>34</v>
      </c>
      <c r="D334" s="701">
        <v>8</v>
      </c>
      <c r="E334" s="735"/>
      <c r="F334" s="682">
        <f t="shared" si="5"/>
        <v>0</v>
      </c>
    </row>
    <row r="335" spans="1:6" ht="15.75">
      <c r="A335" s="716"/>
      <c r="B335" s="713"/>
      <c r="C335" s="696"/>
      <c r="D335" s="701"/>
      <c r="E335" s="735"/>
      <c r="F335" s="682">
        <f t="shared" si="5"/>
        <v>0</v>
      </c>
    </row>
    <row r="336" spans="1:6" ht="330">
      <c r="A336" s="683">
        <f>IF(B336&gt;0,MAX(A251:A335)+1,"")</f>
        <v>31</v>
      </c>
      <c r="B336" s="712" t="s">
        <v>1244</v>
      </c>
      <c r="C336" s="696"/>
      <c r="D336" s="687"/>
      <c r="E336" s="732"/>
      <c r="F336" s="682">
        <f t="shared" si="5"/>
        <v>0</v>
      </c>
    </row>
    <row r="337" spans="1:6" ht="15.75">
      <c r="A337" s="716"/>
      <c r="B337" s="713"/>
      <c r="C337" s="696" t="s">
        <v>34</v>
      </c>
      <c r="D337" s="701">
        <v>1</v>
      </c>
      <c r="E337" s="735"/>
      <c r="F337" s="682">
        <f t="shared" si="5"/>
        <v>0</v>
      </c>
    </row>
    <row r="338" spans="1:6" ht="15.75">
      <c r="A338" s="716"/>
      <c r="B338" s="713"/>
      <c r="C338" s="696"/>
      <c r="D338" s="701"/>
      <c r="E338" s="735"/>
      <c r="F338" s="682">
        <f t="shared" si="5"/>
        <v>0</v>
      </c>
    </row>
    <row r="339" spans="1:6" ht="270">
      <c r="A339" s="683">
        <f>IF(B339&gt;0,MAX(A254:A338)+1,"")</f>
        <v>32</v>
      </c>
      <c r="B339" s="712" t="s">
        <v>1245</v>
      </c>
      <c r="C339" s="696"/>
      <c r="D339" s="687"/>
      <c r="E339" s="732"/>
      <c r="F339" s="682">
        <f t="shared" si="5"/>
        <v>0</v>
      </c>
    </row>
    <row r="340" spans="1:6" ht="15.75">
      <c r="A340" s="716"/>
      <c r="B340" s="713"/>
      <c r="C340" s="696" t="s">
        <v>34</v>
      </c>
      <c r="D340" s="701">
        <v>1</v>
      </c>
      <c r="E340" s="735"/>
      <c r="F340" s="682">
        <f t="shared" si="5"/>
        <v>0</v>
      </c>
    </row>
    <row r="341" spans="1:6" ht="15.75">
      <c r="A341" s="716"/>
      <c r="B341" s="713"/>
      <c r="C341" s="696"/>
      <c r="D341" s="701"/>
      <c r="E341" s="735"/>
      <c r="F341" s="682">
        <f t="shared" si="5"/>
        <v>0</v>
      </c>
    </row>
    <row r="342" spans="1:6" ht="360">
      <c r="A342" s="683">
        <f>IF(B342&gt;0,MAX(A257:A341)+1,"")</f>
        <v>33</v>
      </c>
      <c r="B342" s="712" t="s">
        <v>1246</v>
      </c>
      <c r="C342" s="696"/>
      <c r="D342" s="687"/>
      <c r="E342" s="732"/>
      <c r="F342" s="682">
        <f t="shared" si="5"/>
        <v>0</v>
      </c>
    </row>
    <row r="343" spans="1:6" ht="15.75">
      <c r="A343" s="716"/>
      <c r="B343" s="713"/>
      <c r="C343" s="696" t="s">
        <v>34</v>
      </c>
      <c r="D343" s="701">
        <v>1</v>
      </c>
      <c r="E343" s="735"/>
      <c r="F343" s="682">
        <f t="shared" si="5"/>
        <v>0</v>
      </c>
    </row>
    <row r="344" spans="1:6" ht="15.75">
      <c r="A344" s="716"/>
      <c r="B344" s="713"/>
      <c r="C344" s="696"/>
      <c r="D344" s="701"/>
      <c r="E344" s="735"/>
      <c r="F344" s="682">
        <f t="shared" si="5"/>
        <v>0</v>
      </c>
    </row>
    <row r="345" spans="1:6" ht="315">
      <c r="A345" s="683">
        <f>IF(B345&gt;0,MAX(A260:A344)+1,"")</f>
        <v>34</v>
      </c>
      <c r="B345" s="712" t="s">
        <v>1247</v>
      </c>
      <c r="C345" s="696"/>
      <c r="D345" s="687"/>
      <c r="E345" s="732"/>
      <c r="F345" s="682">
        <f t="shared" si="5"/>
        <v>0</v>
      </c>
    </row>
    <row r="346" spans="1:6" ht="18.75" customHeight="1">
      <c r="A346" s="716"/>
      <c r="B346" s="713"/>
      <c r="C346" s="696" t="s">
        <v>34</v>
      </c>
      <c r="D346" s="701">
        <v>3</v>
      </c>
      <c r="E346" s="735"/>
      <c r="F346" s="682">
        <f t="shared" si="5"/>
        <v>0</v>
      </c>
    </row>
    <row r="347" spans="1:6" ht="18.75" customHeight="1">
      <c r="A347" s="716"/>
      <c r="B347" s="713"/>
      <c r="C347" s="696"/>
      <c r="D347" s="701"/>
      <c r="E347" s="735"/>
      <c r="F347" s="682">
        <f t="shared" si="5"/>
        <v>0</v>
      </c>
    </row>
    <row r="348" spans="1:6" ht="390">
      <c r="A348" s="683">
        <f>IF(B348&gt;0,MAX(A263:A347)+1,"")</f>
        <v>35</v>
      </c>
      <c r="B348" s="712" t="s">
        <v>1874</v>
      </c>
      <c r="C348" s="696"/>
      <c r="D348" s="687"/>
      <c r="E348" s="732"/>
      <c r="F348" s="682">
        <f t="shared" si="5"/>
        <v>0</v>
      </c>
    </row>
    <row r="349" spans="1:6" ht="18.75" customHeight="1">
      <c r="A349" s="716"/>
      <c r="C349" s="696" t="s">
        <v>34</v>
      </c>
      <c r="D349" s="701">
        <v>1</v>
      </c>
      <c r="E349" s="735"/>
      <c r="F349" s="682">
        <f t="shared" si="5"/>
        <v>0</v>
      </c>
    </row>
    <row r="350" spans="1:6" ht="11.25" customHeight="1">
      <c r="A350" s="716"/>
      <c r="B350" s="713"/>
      <c r="C350" s="696"/>
      <c r="D350" s="701"/>
      <c r="E350" s="735"/>
      <c r="F350" s="682">
        <f t="shared" si="5"/>
        <v>0</v>
      </c>
    </row>
    <row r="351" spans="1:6" ht="345">
      <c r="A351" s="683">
        <f>IF(B351&gt;0,MAX(A266:A350)+1,"")</f>
        <v>36</v>
      </c>
      <c r="B351" s="712" t="s">
        <v>1248</v>
      </c>
      <c r="C351" s="696"/>
      <c r="D351" s="687"/>
      <c r="E351" s="732"/>
      <c r="F351" s="682">
        <f t="shared" si="5"/>
        <v>0</v>
      </c>
    </row>
    <row r="352" spans="1:6" ht="15.75">
      <c r="A352" s="716"/>
      <c r="B352" s="713"/>
      <c r="C352" s="696" t="s">
        <v>34</v>
      </c>
      <c r="D352" s="701">
        <v>1</v>
      </c>
      <c r="E352" s="735"/>
      <c r="F352" s="682">
        <f t="shared" si="5"/>
        <v>0</v>
      </c>
    </row>
    <row r="353" spans="1:6" ht="15.75">
      <c r="A353" s="716"/>
      <c r="B353" s="713"/>
      <c r="C353" s="696"/>
      <c r="D353" s="701"/>
      <c r="E353" s="735"/>
      <c r="F353" s="682">
        <f t="shared" si="5"/>
        <v>0</v>
      </c>
    </row>
    <row r="354" spans="1:6" ht="330">
      <c r="A354" s="683">
        <f>IF(B354&gt;0,MAX(A269:A353)+1,"")</f>
        <v>37</v>
      </c>
      <c r="B354" s="712" t="s">
        <v>1249</v>
      </c>
      <c r="C354" s="696"/>
      <c r="D354" s="687"/>
      <c r="E354" s="732"/>
      <c r="F354" s="682">
        <f t="shared" si="5"/>
        <v>0</v>
      </c>
    </row>
    <row r="355" spans="1:6" ht="15.75">
      <c r="A355" s="716"/>
      <c r="B355" s="713" t="s">
        <v>1250</v>
      </c>
      <c r="C355" s="696" t="s">
        <v>34</v>
      </c>
      <c r="D355" s="701">
        <v>1</v>
      </c>
      <c r="E355" s="735"/>
      <c r="F355" s="682">
        <f t="shared" si="5"/>
        <v>0</v>
      </c>
    </row>
    <row r="356" spans="1:6" ht="15.75">
      <c r="A356" s="716"/>
      <c r="B356" s="713" t="s">
        <v>1251</v>
      </c>
      <c r="C356" s="696" t="s">
        <v>34</v>
      </c>
      <c r="D356" s="701">
        <v>1</v>
      </c>
      <c r="E356" s="735"/>
      <c r="F356" s="682">
        <f t="shared" si="5"/>
        <v>0</v>
      </c>
    </row>
    <row r="357" spans="1:6" ht="15.75">
      <c r="A357" s="716"/>
      <c r="B357" s="713" t="s">
        <v>1252</v>
      </c>
      <c r="C357" s="696" t="s">
        <v>34</v>
      </c>
      <c r="D357" s="701">
        <v>1</v>
      </c>
      <c r="E357" s="735"/>
      <c r="F357" s="682">
        <f t="shared" si="5"/>
        <v>0</v>
      </c>
    </row>
    <row r="358" spans="1:6" ht="15.75">
      <c r="A358" s="716"/>
      <c r="B358" s="713" t="s">
        <v>1253</v>
      </c>
      <c r="C358" s="696" t="s">
        <v>34</v>
      </c>
      <c r="D358" s="701">
        <v>1</v>
      </c>
      <c r="E358" s="735"/>
      <c r="F358" s="682">
        <f t="shared" si="5"/>
        <v>0</v>
      </c>
    </row>
    <row r="359" spans="1:6" ht="15.75">
      <c r="A359" s="716"/>
      <c r="B359" s="713" t="s">
        <v>1254</v>
      </c>
      <c r="C359" s="696" t="s">
        <v>34</v>
      </c>
      <c r="D359" s="701">
        <v>1</v>
      </c>
      <c r="E359" s="735"/>
      <c r="F359" s="682">
        <f t="shared" si="5"/>
        <v>0</v>
      </c>
    </row>
    <row r="360" spans="1:6" ht="15.75">
      <c r="A360" s="716"/>
      <c r="B360" s="713" t="s">
        <v>1255</v>
      </c>
      <c r="C360" s="696" t="s">
        <v>34</v>
      </c>
      <c r="D360" s="701">
        <v>1</v>
      </c>
      <c r="E360" s="735"/>
      <c r="F360" s="682">
        <f t="shared" si="5"/>
        <v>0</v>
      </c>
    </row>
    <row r="361" spans="1:6" ht="15.75">
      <c r="A361" s="716"/>
      <c r="B361" s="713" t="s">
        <v>1256</v>
      </c>
      <c r="C361" s="696" t="s">
        <v>34</v>
      </c>
      <c r="D361" s="701">
        <v>1</v>
      </c>
      <c r="E361" s="735"/>
      <c r="F361" s="682">
        <f t="shared" si="5"/>
        <v>0</v>
      </c>
    </row>
    <row r="362" spans="1:6" ht="15.75">
      <c r="A362" s="716"/>
      <c r="B362" s="713"/>
      <c r="C362" s="696"/>
      <c r="D362" s="701"/>
      <c r="E362" s="735"/>
      <c r="F362" s="682">
        <f t="shared" si="5"/>
        <v>0</v>
      </c>
    </row>
    <row r="363" spans="1:6" ht="270">
      <c r="A363" s="683">
        <f>IF(B363&gt;0,MAX(A278:A362)+1,"")</f>
        <v>38</v>
      </c>
      <c r="B363" s="712" t="s">
        <v>1257</v>
      </c>
      <c r="C363" s="696"/>
      <c r="D363" s="687"/>
      <c r="E363" s="732"/>
      <c r="F363" s="682">
        <f t="shared" si="5"/>
        <v>0</v>
      </c>
    </row>
    <row r="364" spans="1:6" ht="15.75">
      <c r="A364" s="716"/>
      <c r="B364" s="713" t="s">
        <v>1258</v>
      </c>
      <c r="C364" s="696" t="s">
        <v>34</v>
      </c>
      <c r="D364" s="701">
        <v>8</v>
      </c>
      <c r="E364" s="735"/>
      <c r="F364" s="682">
        <f t="shared" si="5"/>
        <v>0</v>
      </c>
    </row>
    <row r="365" spans="1:6" ht="30">
      <c r="A365" s="716"/>
      <c r="B365" s="713" t="s">
        <v>1259</v>
      </c>
      <c r="C365" s="696" t="s">
        <v>34</v>
      </c>
      <c r="D365" s="701">
        <v>2</v>
      </c>
      <c r="E365" s="735"/>
      <c r="F365" s="682">
        <f t="shared" si="5"/>
        <v>0</v>
      </c>
    </row>
    <row r="366" spans="1:6" ht="15.75">
      <c r="A366" s="716"/>
      <c r="B366" s="713"/>
      <c r="C366" s="696"/>
      <c r="D366" s="701"/>
      <c r="E366" s="735"/>
      <c r="F366" s="682">
        <f t="shared" si="5"/>
        <v>0</v>
      </c>
    </row>
    <row r="367" spans="1:6" ht="225">
      <c r="A367" s="683">
        <f>IF(B367&gt;0,MAX(A282:A366)+1,"")</f>
        <v>39</v>
      </c>
      <c r="B367" s="712" t="s">
        <v>1260</v>
      </c>
      <c r="C367" s="696"/>
      <c r="D367" s="687"/>
      <c r="E367" s="732"/>
      <c r="F367" s="682">
        <f t="shared" si="5"/>
        <v>0</v>
      </c>
    </row>
    <row r="368" spans="1:6" ht="15.75">
      <c r="A368" s="716"/>
      <c r="B368" s="713" t="s">
        <v>1261</v>
      </c>
      <c r="C368" s="696" t="s">
        <v>34</v>
      </c>
      <c r="D368" s="701">
        <v>2</v>
      </c>
      <c r="E368" s="735"/>
      <c r="F368" s="682">
        <f t="shared" si="5"/>
        <v>0</v>
      </c>
    </row>
    <row r="369" spans="1:6" ht="15.75">
      <c r="A369" s="716"/>
      <c r="B369" s="713" t="s">
        <v>1262</v>
      </c>
      <c r="C369" s="696" t="s">
        <v>34</v>
      </c>
      <c r="D369" s="701">
        <v>3</v>
      </c>
      <c r="E369" s="735"/>
      <c r="F369" s="682">
        <f t="shared" si="5"/>
        <v>0</v>
      </c>
    </row>
    <row r="370" spans="1:6" ht="15.75">
      <c r="A370" s="716"/>
      <c r="B370" s="713" t="s">
        <v>1263</v>
      </c>
      <c r="C370" s="696" t="s">
        <v>34</v>
      </c>
      <c r="D370" s="701">
        <v>2</v>
      </c>
      <c r="E370" s="735"/>
      <c r="F370" s="682">
        <f t="shared" si="5"/>
        <v>0</v>
      </c>
    </row>
    <row r="371" spans="1:6" ht="15.75">
      <c r="A371" s="716"/>
      <c r="B371" s="713" t="s">
        <v>1264</v>
      </c>
      <c r="C371" s="696" t="s">
        <v>34</v>
      </c>
      <c r="D371" s="701">
        <v>1</v>
      </c>
      <c r="E371" s="735"/>
      <c r="F371" s="682">
        <f t="shared" si="5"/>
        <v>0</v>
      </c>
    </row>
    <row r="372" spans="1:6" ht="15.75">
      <c r="A372" s="716"/>
      <c r="B372" s="713"/>
      <c r="C372" s="696"/>
      <c r="D372" s="701"/>
      <c r="E372" s="735"/>
      <c r="F372" s="682">
        <f t="shared" si="5"/>
        <v>0</v>
      </c>
    </row>
    <row r="373" spans="1:6" ht="165">
      <c r="A373" s="683">
        <f>IF(B373&gt;0,MAX(A288:A372)+1,"")</f>
        <v>40</v>
      </c>
      <c r="B373" s="712" t="s">
        <v>1265</v>
      </c>
      <c r="C373" s="696"/>
      <c r="D373" s="687"/>
      <c r="E373" s="732"/>
      <c r="F373" s="682">
        <f t="shared" si="5"/>
        <v>0</v>
      </c>
    </row>
    <row r="374" spans="1:6" ht="30">
      <c r="A374" s="716"/>
      <c r="B374" s="713" t="s">
        <v>1266</v>
      </c>
      <c r="C374" s="696" t="s">
        <v>34</v>
      </c>
      <c r="D374" s="701">
        <v>2</v>
      </c>
      <c r="E374" s="735"/>
      <c r="F374" s="682">
        <f t="shared" si="5"/>
        <v>0</v>
      </c>
    </row>
    <row r="375" spans="1:6" ht="15.75">
      <c r="A375" s="716"/>
      <c r="B375" s="713" t="s">
        <v>1267</v>
      </c>
      <c r="C375" s="696" t="s">
        <v>34</v>
      </c>
      <c r="D375" s="701">
        <v>2</v>
      </c>
      <c r="E375" s="735"/>
      <c r="F375" s="682">
        <f t="shared" si="5"/>
        <v>0</v>
      </c>
    </row>
    <row r="376" spans="1:6" ht="15.75">
      <c r="A376" s="716"/>
      <c r="B376" s="713" t="s">
        <v>1268</v>
      </c>
      <c r="C376" s="696" t="s">
        <v>34</v>
      </c>
      <c r="D376" s="701">
        <v>1</v>
      </c>
      <c r="E376" s="735"/>
      <c r="F376" s="682">
        <f t="shared" si="5"/>
        <v>0</v>
      </c>
    </row>
    <row r="377" spans="1:6" ht="15.75">
      <c r="A377" s="716"/>
      <c r="B377" s="713" t="s">
        <v>1269</v>
      </c>
      <c r="C377" s="696" t="s">
        <v>34</v>
      </c>
      <c r="D377" s="701">
        <v>1</v>
      </c>
      <c r="E377" s="735"/>
      <c r="F377" s="682">
        <f t="shared" si="5"/>
        <v>0</v>
      </c>
    </row>
    <row r="378" spans="1:6" ht="15.75">
      <c r="A378" s="716"/>
      <c r="B378" s="713"/>
      <c r="C378" s="696"/>
      <c r="D378" s="701"/>
      <c r="E378" s="735"/>
      <c r="F378" s="718"/>
    </row>
    <row r="379" spans="1:6" ht="15.75">
      <c r="A379" s="697"/>
      <c r="B379" s="670"/>
      <c r="C379" s="719"/>
      <c r="D379" s="672"/>
      <c r="E379" s="728"/>
      <c r="F379" s="673"/>
    </row>
    <row r="380" spans="1:6" ht="15.75">
      <c r="A380" s="720" t="s">
        <v>4605</v>
      </c>
      <c r="B380" s="675" t="s">
        <v>1270</v>
      </c>
      <c r="C380" s="721"/>
      <c r="D380" s="722"/>
      <c r="E380" s="739">
        <f>SUM(F7:F379)</f>
        <v>0</v>
      </c>
      <c r="F380" s="722">
        <f>SUM(F7:F379)</f>
        <v>0</v>
      </c>
    </row>
    <row r="381" spans="1:6" ht="15.75">
      <c r="A381" s="12"/>
      <c r="C381" s="670"/>
      <c r="D381" s="671"/>
      <c r="E381" s="728"/>
      <c r="F381" s="673"/>
    </row>
    <row r="382" spans="1:6" ht="15.75">
      <c r="A382" s="12"/>
      <c r="C382" s="670"/>
      <c r="D382" s="671"/>
      <c r="E382" s="728"/>
      <c r="F382" s="673"/>
    </row>
    <row r="383" spans="1:6" ht="15.75">
      <c r="A383" s="12"/>
      <c r="B383" s="669"/>
      <c r="C383" s="670"/>
      <c r="D383" s="671"/>
      <c r="E383" s="728"/>
      <c r="F383" s="673"/>
    </row>
    <row r="384" spans="1:6" ht="15.75">
      <c r="A384" s="12"/>
      <c r="B384" s="669"/>
      <c r="C384" s="670"/>
      <c r="D384" s="671"/>
      <c r="E384" s="728"/>
      <c r="F384" s="673"/>
    </row>
    <row r="385" spans="1:6" ht="15.75">
      <c r="A385" s="12"/>
      <c r="B385" s="669"/>
      <c r="C385" s="670"/>
      <c r="D385" s="671"/>
      <c r="E385" s="728"/>
      <c r="F385" s="673"/>
    </row>
    <row r="386" spans="1:6" ht="15.75">
      <c r="B386" s="669"/>
    </row>
    <row r="387" spans="1:6" ht="15.75">
      <c r="B387" s="669"/>
    </row>
    <row r="389" spans="1:6" ht="15.75">
      <c r="C389" s="725"/>
    </row>
    <row r="391" spans="1:6" ht="15.75">
      <c r="B391" s="726"/>
    </row>
  </sheetData>
  <sheetProtection password="C891" sheet="1" objects="1" scenarios="1"/>
  <pageMargins left="0.78740157480314965" right="0.19685039370078741" top="1.0049019607843137" bottom="1.1023622047244095" header="0.51181102362204722" footer="0.39370078740157483"/>
  <pageSetup paperSize="9" orientation="portrait" useFirstPageNumber="1" r:id="rId1"/>
  <headerFooter alignWithMargins="0">
    <oddHeader>&amp;LInvestitor: 
Hrvatski institut za povijest&amp;CTroškovnik
 -konzervatorski radovi
&amp;Rlipanj 2025.</oddHeader>
    <oddFooter>&amp;CGrađevina:
Palača bogoštovlja i nastave&amp;Rstr.: &amp;P od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G64"/>
  <sheetViews>
    <sheetView topLeftCell="A34" zoomScaleNormal="100" zoomScaleSheetLayoutView="115" workbookViewId="0">
      <selection activeCell="C34" sqref="C34:G34"/>
    </sheetView>
  </sheetViews>
  <sheetFormatPr defaultRowHeight="12.75"/>
  <cols>
    <col min="1" max="1" width="7.85546875" style="740" customWidth="1"/>
    <col min="2" max="2" width="4" style="740" customWidth="1"/>
    <col min="3" max="3" width="35.85546875" style="740" customWidth="1"/>
    <col min="4" max="4" width="7.5703125" style="740" customWidth="1"/>
    <col min="5" max="5" width="13.5703125" style="756" customWidth="1"/>
    <col min="6" max="6" width="13.5703125" style="740" customWidth="1"/>
    <col min="7" max="7" width="14.42578125" style="740" customWidth="1"/>
    <col min="8" max="256" width="9.140625" style="8"/>
    <col min="257" max="257" width="7.85546875" style="8" customWidth="1"/>
    <col min="258" max="258" width="4" style="8" customWidth="1"/>
    <col min="259" max="259" width="35.85546875" style="8" customWidth="1"/>
    <col min="260" max="260" width="7.5703125" style="8" customWidth="1"/>
    <col min="261" max="262" width="13.5703125" style="8" customWidth="1"/>
    <col min="263" max="263" width="14.42578125" style="8" customWidth="1"/>
    <col min="264" max="512" width="9.140625" style="8"/>
    <col min="513" max="513" width="7.85546875" style="8" customWidth="1"/>
    <col min="514" max="514" width="4" style="8" customWidth="1"/>
    <col min="515" max="515" width="35.85546875" style="8" customWidth="1"/>
    <col min="516" max="516" width="7.5703125" style="8" customWidth="1"/>
    <col min="517" max="518" width="13.5703125" style="8" customWidth="1"/>
    <col min="519" max="519" width="14.42578125" style="8" customWidth="1"/>
    <col min="520" max="768" width="9.140625" style="8"/>
    <col min="769" max="769" width="7.85546875" style="8" customWidth="1"/>
    <col min="770" max="770" width="4" style="8" customWidth="1"/>
    <col min="771" max="771" width="35.85546875" style="8" customWidth="1"/>
    <col min="772" max="772" width="7.5703125" style="8" customWidth="1"/>
    <col min="773" max="774" width="13.5703125" style="8" customWidth="1"/>
    <col min="775" max="775" width="14.42578125" style="8" customWidth="1"/>
    <col min="776" max="1024" width="9.140625" style="8"/>
    <col min="1025" max="1025" width="7.85546875" style="8" customWidth="1"/>
    <col min="1026" max="1026" width="4" style="8" customWidth="1"/>
    <col min="1027" max="1027" width="35.85546875" style="8" customWidth="1"/>
    <col min="1028" max="1028" width="7.5703125" style="8" customWidth="1"/>
    <col min="1029" max="1030" width="13.5703125" style="8" customWidth="1"/>
    <col min="1031" max="1031" width="14.42578125" style="8" customWidth="1"/>
    <col min="1032" max="1280" width="9.140625" style="8"/>
    <col min="1281" max="1281" width="7.85546875" style="8" customWidth="1"/>
    <col min="1282" max="1282" width="4" style="8" customWidth="1"/>
    <col min="1283" max="1283" width="35.85546875" style="8" customWidth="1"/>
    <col min="1284" max="1284" width="7.5703125" style="8" customWidth="1"/>
    <col min="1285" max="1286" width="13.5703125" style="8" customWidth="1"/>
    <col min="1287" max="1287" width="14.42578125" style="8" customWidth="1"/>
    <col min="1288" max="1536" width="9.140625" style="8"/>
    <col min="1537" max="1537" width="7.85546875" style="8" customWidth="1"/>
    <col min="1538" max="1538" width="4" style="8" customWidth="1"/>
    <col min="1539" max="1539" width="35.85546875" style="8" customWidth="1"/>
    <col min="1540" max="1540" width="7.5703125" style="8" customWidth="1"/>
    <col min="1541" max="1542" width="13.5703125" style="8" customWidth="1"/>
    <col min="1543" max="1543" width="14.42578125" style="8" customWidth="1"/>
    <col min="1544" max="1792" width="9.140625" style="8"/>
    <col min="1793" max="1793" width="7.85546875" style="8" customWidth="1"/>
    <col min="1794" max="1794" width="4" style="8" customWidth="1"/>
    <col min="1795" max="1795" width="35.85546875" style="8" customWidth="1"/>
    <col min="1796" max="1796" width="7.5703125" style="8" customWidth="1"/>
    <col min="1797" max="1798" width="13.5703125" style="8" customWidth="1"/>
    <col min="1799" max="1799" width="14.42578125" style="8" customWidth="1"/>
    <col min="1800" max="2048" width="9.140625" style="8"/>
    <col min="2049" max="2049" width="7.85546875" style="8" customWidth="1"/>
    <col min="2050" max="2050" width="4" style="8" customWidth="1"/>
    <col min="2051" max="2051" width="35.85546875" style="8" customWidth="1"/>
    <col min="2052" max="2052" width="7.5703125" style="8" customWidth="1"/>
    <col min="2053" max="2054" width="13.5703125" style="8" customWidth="1"/>
    <col min="2055" max="2055" width="14.42578125" style="8" customWidth="1"/>
    <col min="2056" max="2304" width="9.140625" style="8"/>
    <col min="2305" max="2305" width="7.85546875" style="8" customWidth="1"/>
    <col min="2306" max="2306" width="4" style="8" customWidth="1"/>
    <col min="2307" max="2307" width="35.85546875" style="8" customWidth="1"/>
    <col min="2308" max="2308" width="7.5703125" style="8" customWidth="1"/>
    <col min="2309" max="2310" width="13.5703125" style="8" customWidth="1"/>
    <col min="2311" max="2311" width="14.42578125" style="8" customWidth="1"/>
    <col min="2312" max="2560" width="9.140625" style="8"/>
    <col min="2561" max="2561" width="7.85546875" style="8" customWidth="1"/>
    <col min="2562" max="2562" width="4" style="8" customWidth="1"/>
    <col min="2563" max="2563" width="35.85546875" style="8" customWidth="1"/>
    <col min="2564" max="2564" width="7.5703125" style="8" customWidth="1"/>
    <col min="2565" max="2566" width="13.5703125" style="8" customWidth="1"/>
    <col min="2567" max="2567" width="14.42578125" style="8" customWidth="1"/>
    <col min="2568" max="2816" width="9.140625" style="8"/>
    <col min="2817" max="2817" width="7.85546875" style="8" customWidth="1"/>
    <col min="2818" max="2818" width="4" style="8" customWidth="1"/>
    <col min="2819" max="2819" width="35.85546875" style="8" customWidth="1"/>
    <col min="2820" max="2820" width="7.5703125" style="8" customWidth="1"/>
    <col min="2821" max="2822" width="13.5703125" style="8" customWidth="1"/>
    <col min="2823" max="2823" width="14.42578125" style="8" customWidth="1"/>
    <col min="2824" max="3072" width="9.140625" style="8"/>
    <col min="3073" max="3073" width="7.85546875" style="8" customWidth="1"/>
    <col min="3074" max="3074" width="4" style="8" customWidth="1"/>
    <col min="3075" max="3075" width="35.85546875" style="8" customWidth="1"/>
    <col min="3076" max="3076" width="7.5703125" style="8" customWidth="1"/>
    <col min="3077" max="3078" width="13.5703125" style="8" customWidth="1"/>
    <col min="3079" max="3079" width="14.42578125" style="8" customWidth="1"/>
    <col min="3080" max="3328" width="9.140625" style="8"/>
    <col min="3329" max="3329" width="7.85546875" style="8" customWidth="1"/>
    <col min="3330" max="3330" width="4" style="8" customWidth="1"/>
    <col min="3331" max="3331" width="35.85546875" style="8" customWidth="1"/>
    <col min="3332" max="3332" width="7.5703125" style="8" customWidth="1"/>
    <col min="3333" max="3334" width="13.5703125" style="8" customWidth="1"/>
    <col min="3335" max="3335" width="14.42578125" style="8" customWidth="1"/>
    <col min="3336" max="3584" width="9.140625" style="8"/>
    <col min="3585" max="3585" width="7.85546875" style="8" customWidth="1"/>
    <col min="3586" max="3586" width="4" style="8" customWidth="1"/>
    <col min="3587" max="3587" width="35.85546875" style="8" customWidth="1"/>
    <col min="3588" max="3588" width="7.5703125" style="8" customWidth="1"/>
    <col min="3589" max="3590" width="13.5703125" style="8" customWidth="1"/>
    <col min="3591" max="3591" width="14.42578125" style="8" customWidth="1"/>
    <col min="3592" max="3840" width="9.140625" style="8"/>
    <col min="3841" max="3841" width="7.85546875" style="8" customWidth="1"/>
    <col min="3842" max="3842" width="4" style="8" customWidth="1"/>
    <col min="3843" max="3843" width="35.85546875" style="8" customWidth="1"/>
    <col min="3844" max="3844" width="7.5703125" style="8" customWidth="1"/>
    <col min="3845" max="3846" width="13.5703125" style="8" customWidth="1"/>
    <col min="3847" max="3847" width="14.42578125" style="8" customWidth="1"/>
    <col min="3848" max="4096" width="9.140625" style="8"/>
    <col min="4097" max="4097" width="7.85546875" style="8" customWidth="1"/>
    <col min="4098" max="4098" width="4" style="8" customWidth="1"/>
    <col min="4099" max="4099" width="35.85546875" style="8" customWidth="1"/>
    <col min="4100" max="4100" width="7.5703125" style="8" customWidth="1"/>
    <col min="4101" max="4102" width="13.5703125" style="8" customWidth="1"/>
    <col min="4103" max="4103" width="14.42578125" style="8" customWidth="1"/>
    <col min="4104" max="4352" width="9.140625" style="8"/>
    <col min="4353" max="4353" width="7.85546875" style="8" customWidth="1"/>
    <col min="4354" max="4354" width="4" style="8" customWidth="1"/>
    <col min="4355" max="4355" width="35.85546875" style="8" customWidth="1"/>
    <col min="4356" max="4356" width="7.5703125" style="8" customWidth="1"/>
    <col min="4357" max="4358" width="13.5703125" style="8" customWidth="1"/>
    <col min="4359" max="4359" width="14.42578125" style="8" customWidth="1"/>
    <col min="4360" max="4608" width="9.140625" style="8"/>
    <col min="4609" max="4609" width="7.85546875" style="8" customWidth="1"/>
    <col min="4610" max="4610" width="4" style="8" customWidth="1"/>
    <col min="4611" max="4611" width="35.85546875" style="8" customWidth="1"/>
    <col min="4612" max="4612" width="7.5703125" style="8" customWidth="1"/>
    <col min="4613" max="4614" width="13.5703125" style="8" customWidth="1"/>
    <col min="4615" max="4615" width="14.42578125" style="8" customWidth="1"/>
    <col min="4616" max="4864" width="9.140625" style="8"/>
    <col min="4865" max="4865" width="7.85546875" style="8" customWidth="1"/>
    <col min="4866" max="4866" width="4" style="8" customWidth="1"/>
    <col min="4867" max="4867" width="35.85546875" style="8" customWidth="1"/>
    <col min="4868" max="4868" width="7.5703125" style="8" customWidth="1"/>
    <col min="4869" max="4870" width="13.5703125" style="8" customWidth="1"/>
    <col min="4871" max="4871" width="14.42578125" style="8" customWidth="1"/>
    <col min="4872" max="5120" width="9.140625" style="8"/>
    <col min="5121" max="5121" width="7.85546875" style="8" customWidth="1"/>
    <col min="5122" max="5122" width="4" style="8" customWidth="1"/>
    <col min="5123" max="5123" width="35.85546875" style="8" customWidth="1"/>
    <col min="5124" max="5124" width="7.5703125" style="8" customWidth="1"/>
    <col min="5125" max="5126" width="13.5703125" style="8" customWidth="1"/>
    <col min="5127" max="5127" width="14.42578125" style="8" customWidth="1"/>
    <col min="5128" max="5376" width="9.140625" style="8"/>
    <col min="5377" max="5377" width="7.85546875" style="8" customWidth="1"/>
    <col min="5378" max="5378" width="4" style="8" customWidth="1"/>
    <col min="5379" max="5379" width="35.85546875" style="8" customWidth="1"/>
    <col min="5380" max="5380" width="7.5703125" style="8" customWidth="1"/>
    <col min="5381" max="5382" width="13.5703125" style="8" customWidth="1"/>
    <col min="5383" max="5383" width="14.42578125" style="8" customWidth="1"/>
    <col min="5384" max="5632" width="9.140625" style="8"/>
    <col min="5633" max="5633" width="7.85546875" style="8" customWidth="1"/>
    <col min="5634" max="5634" width="4" style="8" customWidth="1"/>
    <col min="5635" max="5635" width="35.85546875" style="8" customWidth="1"/>
    <col min="5636" max="5636" width="7.5703125" style="8" customWidth="1"/>
    <col min="5637" max="5638" width="13.5703125" style="8" customWidth="1"/>
    <col min="5639" max="5639" width="14.42578125" style="8" customWidth="1"/>
    <col min="5640" max="5888" width="9.140625" style="8"/>
    <col min="5889" max="5889" width="7.85546875" style="8" customWidth="1"/>
    <col min="5890" max="5890" width="4" style="8" customWidth="1"/>
    <col min="5891" max="5891" width="35.85546875" style="8" customWidth="1"/>
    <col min="5892" max="5892" width="7.5703125" style="8" customWidth="1"/>
    <col min="5893" max="5894" width="13.5703125" style="8" customWidth="1"/>
    <col min="5895" max="5895" width="14.42578125" style="8" customWidth="1"/>
    <col min="5896" max="6144" width="9.140625" style="8"/>
    <col min="6145" max="6145" width="7.85546875" style="8" customWidth="1"/>
    <col min="6146" max="6146" width="4" style="8" customWidth="1"/>
    <col min="6147" max="6147" width="35.85546875" style="8" customWidth="1"/>
    <col min="6148" max="6148" width="7.5703125" style="8" customWidth="1"/>
    <col min="6149" max="6150" width="13.5703125" style="8" customWidth="1"/>
    <col min="6151" max="6151" width="14.42578125" style="8" customWidth="1"/>
    <col min="6152" max="6400" width="9.140625" style="8"/>
    <col min="6401" max="6401" width="7.85546875" style="8" customWidth="1"/>
    <col min="6402" max="6402" width="4" style="8" customWidth="1"/>
    <col min="6403" max="6403" width="35.85546875" style="8" customWidth="1"/>
    <col min="6404" max="6404" width="7.5703125" style="8" customWidth="1"/>
    <col min="6405" max="6406" width="13.5703125" style="8" customWidth="1"/>
    <col min="6407" max="6407" width="14.42578125" style="8" customWidth="1"/>
    <col min="6408" max="6656" width="9.140625" style="8"/>
    <col min="6657" max="6657" width="7.85546875" style="8" customWidth="1"/>
    <col min="6658" max="6658" width="4" style="8" customWidth="1"/>
    <col min="6659" max="6659" width="35.85546875" style="8" customWidth="1"/>
    <col min="6660" max="6660" width="7.5703125" style="8" customWidth="1"/>
    <col min="6661" max="6662" width="13.5703125" style="8" customWidth="1"/>
    <col min="6663" max="6663" width="14.42578125" style="8" customWidth="1"/>
    <col min="6664" max="6912" width="9.140625" style="8"/>
    <col min="6913" max="6913" width="7.85546875" style="8" customWidth="1"/>
    <col min="6914" max="6914" width="4" style="8" customWidth="1"/>
    <col min="6915" max="6915" width="35.85546875" style="8" customWidth="1"/>
    <col min="6916" max="6916" width="7.5703125" style="8" customWidth="1"/>
    <col min="6917" max="6918" width="13.5703125" style="8" customWidth="1"/>
    <col min="6919" max="6919" width="14.42578125" style="8" customWidth="1"/>
    <col min="6920" max="7168" width="9.140625" style="8"/>
    <col min="7169" max="7169" width="7.85546875" style="8" customWidth="1"/>
    <col min="7170" max="7170" width="4" style="8" customWidth="1"/>
    <col min="7171" max="7171" width="35.85546875" style="8" customWidth="1"/>
    <col min="7172" max="7172" width="7.5703125" style="8" customWidth="1"/>
    <col min="7173" max="7174" width="13.5703125" style="8" customWidth="1"/>
    <col min="7175" max="7175" width="14.42578125" style="8" customWidth="1"/>
    <col min="7176" max="7424" width="9.140625" style="8"/>
    <col min="7425" max="7425" width="7.85546875" style="8" customWidth="1"/>
    <col min="7426" max="7426" width="4" style="8" customWidth="1"/>
    <col min="7427" max="7427" width="35.85546875" style="8" customWidth="1"/>
    <col min="7428" max="7428" width="7.5703125" style="8" customWidth="1"/>
    <col min="7429" max="7430" width="13.5703125" style="8" customWidth="1"/>
    <col min="7431" max="7431" width="14.42578125" style="8" customWidth="1"/>
    <col min="7432" max="7680" width="9.140625" style="8"/>
    <col min="7681" max="7681" width="7.85546875" style="8" customWidth="1"/>
    <col min="7682" max="7682" width="4" style="8" customWidth="1"/>
    <col min="7683" max="7683" width="35.85546875" style="8" customWidth="1"/>
    <col min="7684" max="7684" width="7.5703125" style="8" customWidth="1"/>
    <col min="7685" max="7686" width="13.5703125" style="8" customWidth="1"/>
    <col min="7687" max="7687" width="14.42578125" style="8" customWidth="1"/>
    <col min="7688" max="7936" width="9.140625" style="8"/>
    <col min="7937" max="7937" width="7.85546875" style="8" customWidth="1"/>
    <col min="7938" max="7938" width="4" style="8" customWidth="1"/>
    <col min="7939" max="7939" width="35.85546875" style="8" customWidth="1"/>
    <col min="7940" max="7940" width="7.5703125" style="8" customWidth="1"/>
    <col min="7941" max="7942" width="13.5703125" style="8" customWidth="1"/>
    <col min="7943" max="7943" width="14.42578125" style="8" customWidth="1"/>
    <col min="7944" max="8192" width="9.140625" style="8"/>
    <col min="8193" max="8193" width="7.85546875" style="8" customWidth="1"/>
    <col min="8194" max="8194" width="4" style="8" customWidth="1"/>
    <col min="8195" max="8195" width="35.85546875" style="8" customWidth="1"/>
    <col min="8196" max="8196" width="7.5703125" style="8" customWidth="1"/>
    <col min="8197" max="8198" width="13.5703125" style="8" customWidth="1"/>
    <col min="8199" max="8199" width="14.42578125" style="8" customWidth="1"/>
    <col min="8200" max="8448" width="9.140625" style="8"/>
    <col min="8449" max="8449" width="7.85546875" style="8" customWidth="1"/>
    <col min="8450" max="8450" width="4" style="8" customWidth="1"/>
    <col min="8451" max="8451" width="35.85546875" style="8" customWidth="1"/>
    <col min="8452" max="8452" width="7.5703125" style="8" customWidth="1"/>
    <col min="8453" max="8454" width="13.5703125" style="8" customWidth="1"/>
    <col min="8455" max="8455" width="14.42578125" style="8" customWidth="1"/>
    <col min="8456" max="8704" width="9.140625" style="8"/>
    <col min="8705" max="8705" width="7.85546875" style="8" customWidth="1"/>
    <col min="8706" max="8706" width="4" style="8" customWidth="1"/>
    <col min="8707" max="8707" width="35.85546875" style="8" customWidth="1"/>
    <col min="8708" max="8708" width="7.5703125" style="8" customWidth="1"/>
    <col min="8709" max="8710" width="13.5703125" style="8" customWidth="1"/>
    <col min="8711" max="8711" width="14.42578125" style="8" customWidth="1"/>
    <col min="8712" max="8960" width="9.140625" style="8"/>
    <col min="8961" max="8961" width="7.85546875" style="8" customWidth="1"/>
    <col min="8962" max="8962" width="4" style="8" customWidth="1"/>
    <col min="8963" max="8963" width="35.85546875" style="8" customWidth="1"/>
    <col min="8964" max="8964" width="7.5703125" style="8" customWidth="1"/>
    <col min="8965" max="8966" width="13.5703125" style="8" customWidth="1"/>
    <col min="8967" max="8967" width="14.42578125" style="8" customWidth="1"/>
    <col min="8968" max="9216" width="9.140625" style="8"/>
    <col min="9217" max="9217" width="7.85546875" style="8" customWidth="1"/>
    <col min="9218" max="9218" width="4" style="8" customWidth="1"/>
    <col min="9219" max="9219" width="35.85546875" style="8" customWidth="1"/>
    <col min="9220" max="9220" width="7.5703125" style="8" customWidth="1"/>
    <col min="9221" max="9222" width="13.5703125" style="8" customWidth="1"/>
    <col min="9223" max="9223" width="14.42578125" style="8" customWidth="1"/>
    <col min="9224" max="9472" width="9.140625" style="8"/>
    <col min="9473" max="9473" width="7.85546875" style="8" customWidth="1"/>
    <col min="9474" max="9474" width="4" style="8" customWidth="1"/>
    <col min="9475" max="9475" width="35.85546875" style="8" customWidth="1"/>
    <col min="9476" max="9476" width="7.5703125" style="8" customWidth="1"/>
    <col min="9477" max="9478" width="13.5703125" style="8" customWidth="1"/>
    <col min="9479" max="9479" width="14.42578125" style="8" customWidth="1"/>
    <col min="9480" max="9728" width="9.140625" style="8"/>
    <col min="9729" max="9729" width="7.85546875" style="8" customWidth="1"/>
    <col min="9730" max="9730" width="4" style="8" customWidth="1"/>
    <col min="9731" max="9731" width="35.85546875" style="8" customWidth="1"/>
    <col min="9732" max="9732" width="7.5703125" style="8" customWidth="1"/>
    <col min="9733" max="9734" width="13.5703125" style="8" customWidth="1"/>
    <col min="9735" max="9735" width="14.42578125" style="8" customWidth="1"/>
    <col min="9736" max="9984" width="9.140625" style="8"/>
    <col min="9985" max="9985" width="7.85546875" style="8" customWidth="1"/>
    <col min="9986" max="9986" width="4" style="8" customWidth="1"/>
    <col min="9987" max="9987" width="35.85546875" style="8" customWidth="1"/>
    <col min="9988" max="9988" width="7.5703125" style="8" customWidth="1"/>
    <col min="9989" max="9990" width="13.5703125" style="8" customWidth="1"/>
    <col min="9991" max="9991" width="14.42578125" style="8" customWidth="1"/>
    <col min="9992" max="10240" width="9.140625" style="8"/>
    <col min="10241" max="10241" width="7.85546875" style="8" customWidth="1"/>
    <col min="10242" max="10242" width="4" style="8" customWidth="1"/>
    <col min="10243" max="10243" width="35.85546875" style="8" customWidth="1"/>
    <col min="10244" max="10244" width="7.5703125" style="8" customWidth="1"/>
    <col min="10245" max="10246" width="13.5703125" style="8" customWidth="1"/>
    <col min="10247" max="10247" width="14.42578125" style="8" customWidth="1"/>
    <col min="10248" max="10496" width="9.140625" style="8"/>
    <col min="10497" max="10497" width="7.85546875" style="8" customWidth="1"/>
    <col min="10498" max="10498" width="4" style="8" customWidth="1"/>
    <col min="10499" max="10499" width="35.85546875" style="8" customWidth="1"/>
    <col min="10500" max="10500" width="7.5703125" style="8" customWidth="1"/>
    <col min="10501" max="10502" width="13.5703125" style="8" customWidth="1"/>
    <col min="10503" max="10503" width="14.42578125" style="8" customWidth="1"/>
    <col min="10504" max="10752" width="9.140625" style="8"/>
    <col min="10753" max="10753" width="7.85546875" style="8" customWidth="1"/>
    <col min="10754" max="10754" width="4" style="8" customWidth="1"/>
    <col min="10755" max="10755" width="35.85546875" style="8" customWidth="1"/>
    <col min="10756" max="10756" width="7.5703125" style="8" customWidth="1"/>
    <col min="10757" max="10758" width="13.5703125" style="8" customWidth="1"/>
    <col min="10759" max="10759" width="14.42578125" style="8" customWidth="1"/>
    <col min="10760" max="11008" width="9.140625" style="8"/>
    <col min="11009" max="11009" width="7.85546875" style="8" customWidth="1"/>
    <col min="11010" max="11010" width="4" style="8" customWidth="1"/>
    <col min="11011" max="11011" width="35.85546875" style="8" customWidth="1"/>
    <col min="11012" max="11012" width="7.5703125" style="8" customWidth="1"/>
    <col min="11013" max="11014" width="13.5703125" style="8" customWidth="1"/>
    <col min="11015" max="11015" width="14.42578125" style="8" customWidth="1"/>
    <col min="11016" max="11264" width="9.140625" style="8"/>
    <col min="11265" max="11265" width="7.85546875" style="8" customWidth="1"/>
    <col min="11266" max="11266" width="4" style="8" customWidth="1"/>
    <col min="11267" max="11267" width="35.85546875" style="8" customWidth="1"/>
    <col min="11268" max="11268" width="7.5703125" style="8" customWidth="1"/>
    <col min="11269" max="11270" width="13.5703125" style="8" customWidth="1"/>
    <col min="11271" max="11271" width="14.42578125" style="8" customWidth="1"/>
    <col min="11272" max="11520" width="9.140625" style="8"/>
    <col min="11521" max="11521" width="7.85546875" style="8" customWidth="1"/>
    <col min="11522" max="11522" width="4" style="8" customWidth="1"/>
    <col min="11523" max="11523" width="35.85546875" style="8" customWidth="1"/>
    <col min="11524" max="11524" width="7.5703125" style="8" customWidth="1"/>
    <col min="11525" max="11526" width="13.5703125" style="8" customWidth="1"/>
    <col min="11527" max="11527" width="14.42578125" style="8" customWidth="1"/>
    <col min="11528" max="11776" width="9.140625" style="8"/>
    <col min="11777" max="11777" width="7.85546875" style="8" customWidth="1"/>
    <col min="11778" max="11778" width="4" style="8" customWidth="1"/>
    <col min="11779" max="11779" width="35.85546875" style="8" customWidth="1"/>
    <col min="11780" max="11780" width="7.5703125" style="8" customWidth="1"/>
    <col min="11781" max="11782" width="13.5703125" style="8" customWidth="1"/>
    <col min="11783" max="11783" width="14.42578125" style="8" customWidth="1"/>
    <col min="11784" max="12032" width="9.140625" style="8"/>
    <col min="12033" max="12033" width="7.85546875" style="8" customWidth="1"/>
    <col min="12034" max="12034" width="4" style="8" customWidth="1"/>
    <col min="12035" max="12035" width="35.85546875" style="8" customWidth="1"/>
    <col min="12036" max="12036" width="7.5703125" style="8" customWidth="1"/>
    <col min="12037" max="12038" width="13.5703125" style="8" customWidth="1"/>
    <col min="12039" max="12039" width="14.42578125" style="8" customWidth="1"/>
    <col min="12040" max="12288" width="9.140625" style="8"/>
    <col min="12289" max="12289" width="7.85546875" style="8" customWidth="1"/>
    <col min="12290" max="12290" width="4" style="8" customWidth="1"/>
    <col min="12291" max="12291" width="35.85546875" style="8" customWidth="1"/>
    <col min="12292" max="12292" width="7.5703125" style="8" customWidth="1"/>
    <col min="12293" max="12294" width="13.5703125" style="8" customWidth="1"/>
    <col min="12295" max="12295" width="14.42578125" style="8" customWidth="1"/>
    <col min="12296" max="12544" width="9.140625" style="8"/>
    <col min="12545" max="12545" width="7.85546875" style="8" customWidth="1"/>
    <col min="12546" max="12546" width="4" style="8" customWidth="1"/>
    <col min="12547" max="12547" width="35.85546875" style="8" customWidth="1"/>
    <col min="12548" max="12548" width="7.5703125" style="8" customWidth="1"/>
    <col min="12549" max="12550" width="13.5703125" style="8" customWidth="1"/>
    <col min="12551" max="12551" width="14.42578125" style="8" customWidth="1"/>
    <col min="12552" max="12800" width="9.140625" style="8"/>
    <col min="12801" max="12801" width="7.85546875" style="8" customWidth="1"/>
    <col min="12802" max="12802" width="4" style="8" customWidth="1"/>
    <col min="12803" max="12803" width="35.85546875" style="8" customWidth="1"/>
    <col min="12804" max="12804" width="7.5703125" style="8" customWidth="1"/>
    <col min="12805" max="12806" width="13.5703125" style="8" customWidth="1"/>
    <col min="12807" max="12807" width="14.42578125" style="8" customWidth="1"/>
    <col min="12808" max="13056" width="9.140625" style="8"/>
    <col min="13057" max="13057" width="7.85546875" style="8" customWidth="1"/>
    <col min="13058" max="13058" width="4" style="8" customWidth="1"/>
    <col min="13059" max="13059" width="35.85546875" style="8" customWidth="1"/>
    <col min="13060" max="13060" width="7.5703125" style="8" customWidth="1"/>
    <col min="13061" max="13062" width="13.5703125" style="8" customWidth="1"/>
    <col min="13063" max="13063" width="14.42578125" style="8" customWidth="1"/>
    <col min="13064" max="13312" width="9.140625" style="8"/>
    <col min="13313" max="13313" width="7.85546875" style="8" customWidth="1"/>
    <col min="13314" max="13314" width="4" style="8" customWidth="1"/>
    <col min="13315" max="13315" width="35.85546875" style="8" customWidth="1"/>
    <col min="13316" max="13316" width="7.5703125" style="8" customWidth="1"/>
    <col min="13317" max="13318" width="13.5703125" style="8" customWidth="1"/>
    <col min="13319" max="13319" width="14.42578125" style="8" customWidth="1"/>
    <col min="13320" max="13568" width="9.140625" style="8"/>
    <col min="13569" max="13569" width="7.85546875" style="8" customWidth="1"/>
    <col min="13570" max="13570" width="4" style="8" customWidth="1"/>
    <col min="13571" max="13571" width="35.85546875" style="8" customWidth="1"/>
    <col min="13572" max="13572" width="7.5703125" style="8" customWidth="1"/>
    <col min="13573" max="13574" width="13.5703125" style="8" customWidth="1"/>
    <col min="13575" max="13575" width="14.42578125" style="8" customWidth="1"/>
    <col min="13576" max="13824" width="9.140625" style="8"/>
    <col min="13825" max="13825" width="7.85546875" style="8" customWidth="1"/>
    <col min="13826" max="13826" width="4" style="8" customWidth="1"/>
    <col min="13827" max="13827" width="35.85546875" style="8" customWidth="1"/>
    <col min="13828" max="13828" width="7.5703125" style="8" customWidth="1"/>
    <col min="13829" max="13830" width="13.5703125" style="8" customWidth="1"/>
    <col min="13831" max="13831" width="14.42578125" style="8" customWidth="1"/>
    <col min="13832" max="14080" width="9.140625" style="8"/>
    <col min="14081" max="14081" width="7.85546875" style="8" customWidth="1"/>
    <col min="14082" max="14082" width="4" style="8" customWidth="1"/>
    <col min="14083" max="14083" width="35.85546875" style="8" customWidth="1"/>
    <col min="14084" max="14084" width="7.5703125" style="8" customWidth="1"/>
    <col min="14085" max="14086" width="13.5703125" style="8" customWidth="1"/>
    <col min="14087" max="14087" width="14.42578125" style="8" customWidth="1"/>
    <col min="14088" max="14336" width="9.140625" style="8"/>
    <col min="14337" max="14337" width="7.85546875" style="8" customWidth="1"/>
    <col min="14338" max="14338" width="4" style="8" customWidth="1"/>
    <col min="14339" max="14339" width="35.85546875" style="8" customWidth="1"/>
    <col min="14340" max="14340" width="7.5703125" style="8" customWidth="1"/>
    <col min="14341" max="14342" width="13.5703125" style="8" customWidth="1"/>
    <col min="14343" max="14343" width="14.42578125" style="8" customWidth="1"/>
    <col min="14344" max="14592" width="9.140625" style="8"/>
    <col min="14593" max="14593" width="7.85546875" style="8" customWidth="1"/>
    <col min="14594" max="14594" width="4" style="8" customWidth="1"/>
    <col min="14595" max="14595" width="35.85546875" style="8" customWidth="1"/>
    <col min="14596" max="14596" width="7.5703125" style="8" customWidth="1"/>
    <col min="14597" max="14598" width="13.5703125" style="8" customWidth="1"/>
    <col min="14599" max="14599" width="14.42578125" style="8" customWidth="1"/>
    <col min="14600" max="14848" width="9.140625" style="8"/>
    <col min="14849" max="14849" width="7.85546875" style="8" customWidth="1"/>
    <col min="14850" max="14850" width="4" style="8" customWidth="1"/>
    <col min="14851" max="14851" width="35.85546875" style="8" customWidth="1"/>
    <col min="14852" max="14852" width="7.5703125" style="8" customWidth="1"/>
    <col min="14853" max="14854" width="13.5703125" style="8" customWidth="1"/>
    <col min="14855" max="14855" width="14.42578125" style="8" customWidth="1"/>
    <col min="14856" max="15104" width="9.140625" style="8"/>
    <col min="15105" max="15105" width="7.85546875" style="8" customWidth="1"/>
    <col min="15106" max="15106" width="4" style="8" customWidth="1"/>
    <col min="15107" max="15107" width="35.85546875" style="8" customWidth="1"/>
    <col min="15108" max="15108" width="7.5703125" style="8" customWidth="1"/>
    <col min="15109" max="15110" width="13.5703125" style="8" customWidth="1"/>
    <col min="15111" max="15111" width="14.42578125" style="8" customWidth="1"/>
    <col min="15112" max="15360" width="9.140625" style="8"/>
    <col min="15361" max="15361" width="7.85546875" style="8" customWidth="1"/>
    <col min="15362" max="15362" width="4" style="8" customWidth="1"/>
    <col min="15363" max="15363" width="35.85546875" style="8" customWidth="1"/>
    <col min="15364" max="15364" width="7.5703125" style="8" customWidth="1"/>
    <col min="15365" max="15366" width="13.5703125" style="8" customWidth="1"/>
    <col min="15367" max="15367" width="14.42578125" style="8" customWidth="1"/>
    <col min="15368" max="15616" width="9.140625" style="8"/>
    <col min="15617" max="15617" width="7.85546875" style="8" customWidth="1"/>
    <col min="15618" max="15618" width="4" style="8" customWidth="1"/>
    <col min="15619" max="15619" width="35.85546875" style="8" customWidth="1"/>
    <col min="15620" max="15620" width="7.5703125" style="8" customWidth="1"/>
    <col min="15621" max="15622" width="13.5703125" style="8" customWidth="1"/>
    <col min="15623" max="15623" width="14.42578125" style="8" customWidth="1"/>
    <col min="15624" max="15872" width="9.140625" style="8"/>
    <col min="15873" max="15873" width="7.85546875" style="8" customWidth="1"/>
    <col min="15874" max="15874" width="4" style="8" customWidth="1"/>
    <col min="15875" max="15875" width="35.85546875" style="8" customWidth="1"/>
    <col min="15876" max="15876" width="7.5703125" style="8" customWidth="1"/>
    <col min="15877" max="15878" width="13.5703125" style="8" customWidth="1"/>
    <col min="15879" max="15879" width="14.42578125" style="8" customWidth="1"/>
    <col min="15880" max="16128" width="9.140625" style="8"/>
    <col min="16129" max="16129" width="7.85546875" style="8" customWidth="1"/>
    <col min="16130" max="16130" width="4" style="8" customWidth="1"/>
    <col min="16131" max="16131" width="35.85546875" style="8" customWidth="1"/>
    <col min="16132" max="16132" width="7.5703125" style="8" customWidth="1"/>
    <col min="16133" max="16134" width="13.5703125" style="8" customWidth="1"/>
    <col min="16135" max="16135" width="14.42578125" style="8" customWidth="1"/>
    <col min="16136" max="16384" width="9.140625" style="8"/>
  </cols>
  <sheetData>
    <row r="1" spans="1:7">
      <c r="B1" s="741"/>
      <c r="C1" s="741"/>
      <c r="D1" s="741"/>
      <c r="E1" s="741"/>
      <c r="F1" s="742"/>
      <c r="G1" s="743"/>
    </row>
    <row r="2" spans="1:7" ht="12.75" customHeight="1">
      <c r="B2" s="741"/>
      <c r="C2" s="1684" t="s">
        <v>3857</v>
      </c>
      <c r="D2" s="1685"/>
      <c r="E2" s="1685"/>
      <c r="F2" s="1685"/>
      <c r="G2" s="1685"/>
    </row>
    <row r="3" spans="1:7">
      <c r="B3" s="745"/>
      <c r="C3" s="1684"/>
      <c r="D3" s="1684"/>
      <c r="E3" s="1684"/>
      <c r="F3" s="1684"/>
      <c r="G3" s="742"/>
    </row>
    <row r="4" spans="1:7" ht="24.75" customHeight="1">
      <c r="A4" s="746"/>
      <c r="B4" s="747" t="s">
        <v>3858</v>
      </c>
      <c r="C4" s="1682" t="s">
        <v>3859</v>
      </c>
      <c r="D4" s="1682"/>
      <c r="E4" s="1682"/>
      <c r="F4" s="1682"/>
      <c r="G4" s="1682"/>
    </row>
    <row r="5" spans="1:7" ht="24" customHeight="1">
      <c r="A5" s="746"/>
      <c r="B5" s="747" t="s">
        <v>978</v>
      </c>
      <c r="C5" s="1680" t="s">
        <v>3860</v>
      </c>
      <c r="D5" s="1686"/>
      <c r="E5" s="1686"/>
      <c r="F5" s="1686"/>
      <c r="G5" s="1686"/>
    </row>
    <row r="6" spans="1:7" ht="24" customHeight="1">
      <c r="A6" s="746"/>
      <c r="B6" s="747" t="s">
        <v>980</v>
      </c>
      <c r="C6" s="1680" t="s">
        <v>3861</v>
      </c>
      <c r="D6" s="1686"/>
      <c r="E6" s="1686"/>
      <c r="F6" s="1686"/>
      <c r="G6" s="1686"/>
    </row>
    <row r="7" spans="1:7" ht="13.5" customHeight="1">
      <c r="A7" s="746"/>
      <c r="B7" s="747" t="s">
        <v>981</v>
      </c>
      <c r="C7" s="1680" t="s">
        <v>3862</v>
      </c>
      <c r="D7" s="1680"/>
      <c r="E7" s="1680"/>
      <c r="F7" s="1680"/>
      <c r="G7" s="1680"/>
    </row>
    <row r="8" spans="1:7" ht="27" customHeight="1">
      <c r="A8" s="746"/>
      <c r="B8" s="747" t="s">
        <v>982</v>
      </c>
      <c r="C8" s="1680" t="s">
        <v>3863</v>
      </c>
      <c r="D8" s="1680"/>
      <c r="E8" s="1680"/>
      <c r="F8" s="1680"/>
      <c r="G8" s="1680"/>
    </row>
    <row r="9" spans="1:7" ht="24" customHeight="1">
      <c r="A9" s="746"/>
      <c r="B9" s="747" t="s">
        <v>3284</v>
      </c>
      <c r="C9" s="1680" t="s">
        <v>3864</v>
      </c>
      <c r="D9" s="1680"/>
      <c r="E9" s="1680"/>
      <c r="F9" s="1680"/>
      <c r="G9" s="1680"/>
    </row>
    <row r="10" spans="1:7" ht="13.5" customHeight="1">
      <c r="A10" s="746"/>
      <c r="B10" s="747" t="s">
        <v>3301</v>
      </c>
      <c r="C10" s="1682" t="s">
        <v>3865</v>
      </c>
      <c r="D10" s="1682"/>
      <c r="E10" s="1682"/>
      <c r="F10" s="1682"/>
      <c r="G10" s="1682"/>
    </row>
    <row r="11" spans="1:7" ht="26.25" customHeight="1">
      <c r="A11" s="746"/>
      <c r="B11" s="747" t="s">
        <v>3324</v>
      </c>
      <c r="C11" s="1680" t="s">
        <v>3866</v>
      </c>
      <c r="D11" s="1680"/>
      <c r="E11" s="1680"/>
      <c r="F11" s="1680"/>
      <c r="G11" s="1680"/>
    </row>
    <row r="12" spans="1:7" ht="36.75" customHeight="1">
      <c r="A12" s="746"/>
      <c r="B12" s="747" t="s">
        <v>3349</v>
      </c>
      <c r="C12" s="1683" t="s">
        <v>3867</v>
      </c>
      <c r="D12" s="1683"/>
      <c r="E12" s="1683"/>
      <c r="F12" s="1683"/>
      <c r="G12" s="1683"/>
    </row>
    <row r="13" spans="1:7" ht="56.25" customHeight="1">
      <c r="A13" s="746"/>
      <c r="B13" s="747" t="s">
        <v>3363</v>
      </c>
      <c r="C13" s="1677" t="s">
        <v>3868</v>
      </c>
      <c r="D13" s="1677"/>
      <c r="E13" s="1677"/>
      <c r="F13" s="1677"/>
      <c r="G13" s="1677"/>
    </row>
    <row r="14" spans="1:7" ht="25.5" customHeight="1">
      <c r="A14" s="746"/>
      <c r="B14" s="747" t="s">
        <v>3403</v>
      </c>
      <c r="C14" s="1680" t="s">
        <v>3869</v>
      </c>
      <c r="D14" s="1680"/>
      <c r="E14" s="1680"/>
      <c r="F14" s="1680"/>
      <c r="G14" s="1680"/>
    </row>
    <row r="15" spans="1:7" ht="24.75" customHeight="1">
      <c r="A15" s="746"/>
      <c r="B15" s="747" t="s">
        <v>3411</v>
      </c>
      <c r="C15" s="1680" t="s">
        <v>3870</v>
      </c>
      <c r="D15" s="1680"/>
      <c r="E15" s="1680"/>
      <c r="F15" s="1680"/>
      <c r="G15" s="1680"/>
    </row>
    <row r="16" spans="1:7" ht="13.5" customHeight="1">
      <c r="A16" s="746"/>
      <c r="B16" s="747" t="s">
        <v>3421</v>
      </c>
      <c r="C16" s="1680" t="s">
        <v>3871</v>
      </c>
      <c r="D16" s="1680"/>
      <c r="E16" s="1680"/>
      <c r="F16" s="1680"/>
      <c r="G16" s="1680"/>
    </row>
    <row r="17" spans="1:7" ht="23.25" customHeight="1">
      <c r="A17" s="746"/>
      <c r="B17" s="747" t="s">
        <v>3872</v>
      </c>
      <c r="C17" s="1680" t="s">
        <v>3873</v>
      </c>
      <c r="D17" s="1680"/>
      <c r="E17" s="1680"/>
      <c r="F17" s="1680"/>
      <c r="G17" s="1680"/>
    </row>
    <row r="18" spans="1:7" ht="14.25" customHeight="1">
      <c r="A18" s="746"/>
      <c r="B18" s="747" t="s">
        <v>3874</v>
      </c>
      <c r="C18" s="1680" t="s">
        <v>3875</v>
      </c>
      <c r="D18" s="1680"/>
      <c r="E18" s="1680"/>
      <c r="F18" s="1680"/>
      <c r="G18" s="1680"/>
    </row>
    <row r="19" spans="1:7" ht="25.5" customHeight="1">
      <c r="A19" s="746"/>
      <c r="B19" s="747" t="s">
        <v>3876</v>
      </c>
      <c r="C19" s="1680" t="s">
        <v>3877</v>
      </c>
      <c r="D19" s="1680"/>
      <c r="E19" s="1680"/>
      <c r="F19" s="1680"/>
      <c r="G19" s="1680"/>
    </row>
    <row r="20" spans="1:7" ht="13.5" customHeight="1">
      <c r="A20" s="746"/>
      <c r="B20" s="747"/>
      <c r="C20" s="1680" t="s">
        <v>3878</v>
      </c>
      <c r="D20" s="1680"/>
      <c r="E20" s="1680"/>
      <c r="F20" s="1680"/>
      <c r="G20" s="1680"/>
    </row>
    <row r="21" spans="1:7" ht="24" customHeight="1">
      <c r="A21" s="746"/>
      <c r="B21" s="747" t="s">
        <v>3879</v>
      </c>
      <c r="C21" s="1680" t="s">
        <v>3880</v>
      </c>
      <c r="D21" s="1680"/>
      <c r="E21" s="1680"/>
      <c r="F21" s="1680"/>
      <c r="G21" s="1680"/>
    </row>
    <row r="22" spans="1:7" ht="24" customHeight="1">
      <c r="A22" s="746"/>
      <c r="B22" s="747" t="s">
        <v>3881</v>
      </c>
      <c r="C22" s="1680" t="s">
        <v>3882</v>
      </c>
      <c r="D22" s="1680"/>
      <c r="E22" s="1680"/>
      <c r="F22" s="1680"/>
      <c r="G22" s="1680"/>
    </row>
    <row r="23" spans="1:7" ht="36" customHeight="1">
      <c r="A23" s="746"/>
      <c r="B23" s="747" t="s">
        <v>3883</v>
      </c>
      <c r="C23" s="1681" t="s">
        <v>3884</v>
      </c>
      <c r="D23" s="1681"/>
      <c r="E23" s="1681"/>
      <c r="F23" s="1681"/>
      <c r="G23" s="1681"/>
    </row>
    <row r="24" spans="1:7" ht="23.25" customHeight="1">
      <c r="A24" s="746"/>
      <c r="B24" s="747" t="s">
        <v>3885</v>
      </c>
      <c r="C24" s="1677" t="s">
        <v>3886</v>
      </c>
      <c r="D24" s="1677"/>
      <c r="E24" s="1677"/>
      <c r="F24" s="1677"/>
      <c r="G24" s="1677"/>
    </row>
    <row r="25" spans="1:7" ht="34.5" customHeight="1">
      <c r="A25" s="746"/>
      <c r="B25" s="747" t="s">
        <v>3887</v>
      </c>
      <c r="C25" s="1677" t="s">
        <v>3888</v>
      </c>
      <c r="D25" s="1677"/>
      <c r="E25" s="1677"/>
      <c r="F25" s="1677"/>
      <c r="G25" s="1677"/>
    </row>
    <row r="26" spans="1:7" ht="35.25" customHeight="1">
      <c r="A26" s="746"/>
      <c r="B26" s="747"/>
      <c r="C26" s="1677" t="s">
        <v>3889</v>
      </c>
      <c r="D26" s="1677"/>
      <c r="E26" s="1677"/>
      <c r="F26" s="1677"/>
      <c r="G26" s="1677"/>
    </row>
    <row r="27" spans="1:7" ht="24" customHeight="1">
      <c r="A27" s="746"/>
      <c r="B27" s="747" t="s">
        <v>3890</v>
      </c>
      <c r="C27" s="1680" t="s">
        <v>3891</v>
      </c>
      <c r="D27" s="1680"/>
      <c r="E27" s="1680"/>
      <c r="F27" s="1680"/>
      <c r="G27" s="1680"/>
    </row>
    <row r="28" spans="1:7" ht="24" customHeight="1">
      <c r="A28" s="746"/>
      <c r="B28" s="747" t="s">
        <v>3892</v>
      </c>
      <c r="C28" s="1677" t="s">
        <v>3893</v>
      </c>
      <c r="D28" s="1677"/>
      <c r="E28" s="1677"/>
      <c r="F28" s="1677"/>
      <c r="G28" s="1677"/>
    </row>
    <row r="29" spans="1:7" ht="48.75" customHeight="1">
      <c r="A29" s="746"/>
      <c r="B29" s="747" t="s">
        <v>3894</v>
      </c>
      <c r="C29" s="1677" t="s">
        <v>3895</v>
      </c>
      <c r="D29" s="1677"/>
      <c r="E29" s="1677"/>
      <c r="F29" s="1677"/>
      <c r="G29" s="1677"/>
    </row>
    <row r="30" spans="1:7" ht="24.75" customHeight="1">
      <c r="A30" s="746"/>
      <c r="B30" s="747" t="s">
        <v>3896</v>
      </c>
      <c r="C30" s="1677" t="s">
        <v>3897</v>
      </c>
      <c r="D30" s="1677"/>
      <c r="E30" s="1677"/>
      <c r="F30" s="1677"/>
      <c r="G30" s="1677"/>
    </row>
    <row r="31" spans="1:7" ht="24" customHeight="1">
      <c r="A31" s="746"/>
      <c r="B31" s="747" t="s">
        <v>3898</v>
      </c>
      <c r="C31" s="1677" t="s">
        <v>3899</v>
      </c>
      <c r="D31" s="1677"/>
      <c r="E31" s="1677"/>
      <c r="F31" s="1677"/>
      <c r="G31" s="1677"/>
    </row>
    <row r="32" spans="1:7" ht="13.5" customHeight="1">
      <c r="A32" s="746"/>
      <c r="B32" s="747" t="s">
        <v>3900</v>
      </c>
      <c r="C32" s="1677" t="s">
        <v>3901</v>
      </c>
      <c r="D32" s="1677"/>
      <c r="E32" s="1677"/>
      <c r="F32" s="1677"/>
      <c r="G32" s="1677"/>
    </row>
    <row r="33" spans="1:7" ht="48.75" customHeight="1">
      <c r="A33" s="746"/>
      <c r="B33" s="747" t="s">
        <v>3894</v>
      </c>
      <c r="C33" s="1677" t="s">
        <v>3902</v>
      </c>
      <c r="D33" s="1677"/>
      <c r="E33" s="1677"/>
      <c r="F33" s="1677"/>
      <c r="G33" s="1677"/>
    </row>
    <row r="34" spans="1:7" ht="287.25" customHeight="1">
      <c r="A34" s="746"/>
      <c r="B34" s="747"/>
      <c r="C34" s="1677" t="s">
        <v>3903</v>
      </c>
      <c r="D34" s="1677"/>
      <c r="E34" s="1677"/>
      <c r="F34" s="1677"/>
      <c r="G34" s="1677"/>
    </row>
    <row r="35" spans="1:7">
      <c r="A35" s="746"/>
      <c r="B35" s="747"/>
      <c r="C35" s="750"/>
      <c r="D35" s="750"/>
      <c r="E35" s="750"/>
      <c r="F35" s="750"/>
      <c r="G35" s="750"/>
    </row>
    <row r="36" spans="1:7">
      <c r="B36" s="751"/>
      <c r="C36" s="752"/>
      <c r="D36" s="752"/>
      <c r="E36" s="747"/>
      <c r="F36" s="747"/>
      <c r="G36" s="747"/>
    </row>
    <row r="37" spans="1:7">
      <c r="B37" s="745"/>
      <c r="C37" s="744" t="s">
        <v>3904</v>
      </c>
      <c r="D37" s="747"/>
      <c r="E37" s="747"/>
      <c r="F37" s="747"/>
      <c r="G37" s="747"/>
    </row>
    <row r="38" spans="1:7">
      <c r="B38" s="745"/>
      <c r="C38" s="744"/>
      <c r="D38" s="747"/>
      <c r="E38" s="747"/>
      <c r="F38" s="747"/>
      <c r="G38" s="747"/>
    </row>
    <row r="39" spans="1:7">
      <c r="B39" s="753" t="s">
        <v>3905</v>
      </c>
      <c r="C39" s="1677" t="s">
        <v>3906</v>
      </c>
      <c r="D39" s="1677"/>
      <c r="E39" s="1677"/>
      <c r="F39" s="1677"/>
      <c r="G39" s="1677"/>
    </row>
    <row r="40" spans="1:7">
      <c r="B40" s="750" t="s">
        <v>3905</v>
      </c>
      <c r="C40" s="1677" t="s">
        <v>3907</v>
      </c>
      <c r="D40" s="1677"/>
      <c r="E40" s="1677"/>
      <c r="F40" s="1677"/>
      <c r="G40" s="1677"/>
    </row>
    <row r="41" spans="1:7">
      <c r="B41" s="750" t="s">
        <v>3905</v>
      </c>
      <c r="C41" s="1677" t="s">
        <v>3908</v>
      </c>
      <c r="D41" s="1677"/>
      <c r="E41" s="1677"/>
      <c r="F41" s="1677"/>
      <c r="G41" s="1677"/>
    </row>
    <row r="42" spans="1:7">
      <c r="B42" s="750" t="s">
        <v>3905</v>
      </c>
      <c r="C42" s="1677" t="s">
        <v>3909</v>
      </c>
      <c r="D42" s="1677"/>
      <c r="E42" s="1677"/>
      <c r="F42" s="1677"/>
      <c r="G42" s="1677"/>
    </row>
    <row r="43" spans="1:7">
      <c r="B43" s="750" t="s">
        <v>3905</v>
      </c>
      <c r="C43" s="1677" t="s">
        <v>3910</v>
      </c>
      <c r="D43" s="1677"/>
      <c r="E43" s="1677"/>
      <c r="F43" s="1677"/>
      <c r="G43" s="1677"/>
    </row>
    <row r="44" spans="1:7">
      <c r="B44" s="750" t="s">
        <v>3905</v>
      </c>
      <c r="C44" s="1677" t="s">
        <v>3911</v>
      </c>
      <c r="D44" s="1677"/>
      <c r="E44" s="1677"/>
      <c r="F44" s="1677"/>
      <c r="G44" s="1677"/>
    </row>
    <row r="45" spans="1:7">
      <c r="B45" s="750" t="s">
        <v>3905</v>
      </c>
      <c r="C45" s="1679" t="s">
        <v>3912</v>
      </c>
      <c r="D45" s="1679"/>
      <c r="E45" s="1679"/>
      <c r="F45" s="1679"/>
      <c r="G45" s="1679"/>
    </row>
    <row r="46" spans="1:7">
      <c r="B46" s="750" t="s">
        <v>3905</v>
      </c>
      <c r="C46" s="1677" t="s">
        <v>3913</v>
      </c>
      <c r="D46" s="1677"/>
      <c r="E46" s="1677"/>
      <c r="F46" s="1677"/>
      <c r="G46" s="1677"/>
    </row>
    <row r="47" spans="1:7">
      <c r="B47" s="750" t="s">
        <v>3905</v>
      </c>
      <c r="C47" s="1677" t="s">
        <v>3914</v>
      </c>
      <c r="D47" s="1677"/>
      <c r="E47" s="1677"/>
      <c r="F47" s="1677"/>
      <c r="G47" s="1677"/>
    </row>
    <row r="48" spans="1:7">
      <c r="B48" s="750" t="s">
        <v>3905</v>
      </c>
      <c r="C48" s="1677" t="s">
        <v>3915</v>
      </c>
      <c r="D48" s="1677"/>
      <c r="E48" s="1677"/>
      <c r="F48" s="1677"/>
      <c r="G48" s="1677"/>
    </row>
    <row r="49" spans="2:7">
      <c r="B49" s="750" t="s">
        <v>3905</v>
      </c>
      <c r="C49" s="1677" t="s">
        <v>3916</v>
      </c>
      <c r="D49" s="1677"/>
      <c r="E49" s="1677"/>
      <c r="F49" s="1677"/>
      <c r="G49" s="1677"/>
    </row>
    <row r="50" spans="2:7">
      <c r="B50" s="750" t="s">
        <v>3905</v>
      </c>
      <c r="C50" s="1677" t="s">
        <v>3917</v>
      </c>
      <c r="D50" s="1677"/>
      <c r="E50" s="1677"/>
      <c r="F50" s="1677"/>
      <c r="G50" s="1677"/>
    </row>
    <row r="51" spans="2:7">
      <c r="B51" s="750" t="s">
        <v>3905</v>
      </c>
      <c r="C51" s="1677" t="s">
        <v>3918</v>
      </c>
      <c r="D51" s="1677"/>
      <c r="E51" s="1677"/>
      <c r="F51" s="1677"/>
      <c r="G51" s="1677"/>
    </row>
    <row r="52" spans="2:7">
      <c r="B52" s="750" t="s">
        <v>3905</v>
      </c>
      <c r="C52" s="1677" t="s">
        <v>3919</v>
      </c>
      <c r="D52" s="1677"/>
      <c r="E52" s="1677"/>
      <c r="F52" s="1677"/>
      <c r="G52" s="1677"/>
    </row>
    <row r="53" spans="2:7">
      <c r="B53" s="750" t="s">
        <v>3905</v>
      </c>
      <c r="C53" s="1677" t="s">
        <v>3920</v>
      </c>
      <c r="D53" s="1677"/>
      <c r="E53" s="1677"/>
      <c r="F53" s="1677"/>
      <c r="G53" s="1677"/>
    </row>
    <row r="54" spans="2:7">
      <c r="B54" s="750" t="s">
        <v>3905</v>
      </c>
      <c r="C54" s="1677" t="s">
        <v>3921</v>
      </c>
      <c r="D54" s="1677"/>
      <c r="E54" s="1677"/>
      <c r="F54" s="1677"/>
      <c r="G54" s="1677"/>
    </row>
    <row r="55" spans="2:7">
      <c r="B55" s="741"/>
      <c r="C55" s="741"/>
      <c r="D55" s="741"/>
      <c r="E55" s="741"/>
      <c r="F55" s="741"/>
      <c r="G55" s="741"/>
    </row>
    <row r="56" spans="2:7">
      <c r="B56" s="741"/>
      <c r="C56" s="741"/>
      <c r="D56" s="741"/>
      <c r="E56" s="741"/>
      <c r="F56" s="741"/>
      <c r="G56" s="741"/>
    </row>
    <row r="57" spans="2:7">
      <c r="B57" s="741"/>
      <c r="C57" s="754" t="s">
        <v>3922</v>
      </c>
      <c r="D57" s="741"/>
      <c r="E57" s="741"/>
      <c r="F57" s="741"/>
      <c r="G57" s="741"/>
    </row>
    <row r="58" spans="2:7">
      <c r="B58" s="741"/>
      <c r="C58" s="741"/>
      <c r="D58" s="741"/>
      <c r="E58" s="741"/>
      <c r="F58" s="741"/>
      <c r="G58" s="741"/>
    </row>
    <row r="59" spans="2:7">
      <c r="B59" s="755" t="s">
        <v>3905</v>
      </c>
      <c r="C59" s="1678" t="s">
        <v>3923</v>
      </c>
      <c r="D59" s="1678"/>
      <c r="E59" s="1678"/>
      <c r="F59" s="1678"/>
      <c r="G59" s="1678"/>
    </row>
    <row r="60" spans="2:7" ht="23.25" customHeight="1">
      <c r="B60" s="755" t="s">
        <v>3905</v>
      </c>
      <c r="C60" s="1678" t="s">
        <v>3924</v>
      </c>
      <c r="D60" s="1678"/>
      <c r="E60" s="1678"/>
      <c r="F60" s="1678"/>
      <c r="G60" s="1678"/>
    </row>
    <row r="61" spans="2:7" ht="36.75" customHeight="1">
      <c r="B61" s="755" t="s">
        <v>3905</v>
      </c>
      <c r="C61" s="1678" t="s">
        <v>3925</v>
      </c>
      <c r="D61" s="1678"/>
      <c r="E61" s="1678"/>
      <c r="F61" s="1678"/>
      <c r="G61" s="1678"/>
    </row>
    <row r="62" spans="2:7" ht="24" customHeight="1">
      <c r="B62" s="755" t="s">
        <v>3905</v>
      </c>
      <c r="C62" s="1676" t="s">
        <v>3926</v>
      </c>
      <c r="D62" s="1676"/>
      <c r="E62" s="1676"/>
      <c r="F62" s="1676"/>
      <c r="G62" s="1676"/>
    </row>
    <row r="63" spans="2:7" ht="25.5" customHeight="1">
      <c r="B63" s="755" t="s">
        <v>3905</v>
      </c>
      <c r="C63" s="1676" t="s">
        <v>3927</v>
      </c>
      <c r="D63" s="1676"/>
      <c r="E63" s="1676"/>
      <c r="F63" s="1676"/>
      <c r="G63" s="1676"/>
    </row>
    <row r="64" spans="2:7">
      <c r="B64" s="741"/>
      <c r="C64" s="741"/>
      <c r="D64" s="741"/>
      <c r="E64" s="741"/>
      <c r="F64" s="741"/>
      <c r="G64" s="741"/>
    </row>
  </sheetData>
  <sheetProtection algorithmName="SHA-512" hashValue="y9hPvG+nuPmmvp8Tw0sB9cfGQj4cXahi30BqXvGmDY+IYqfn8XblA72y5mj0m4ol1divxggDVtByduNVsw8SOA==" saltValue="08XfOKa1HNO1vi4B6he7DQ==" spinCount="100000" sheet="1" objects="1" scenarios="1"/>
  <mergeCells count="54">
    <mergeCell ref="C7:G7"/>
    <mergeCell ref="C2:G2"/>
    <mergeCell ref="C3:F3"/>
    <mergeCell ref="C4:G4"/>
    <mergeCell ref="C5:G5"/>
    <mergeCell ref="C6:G6"/>
    <mergeCell ref="C19:G19"/>
    <mergeCell ref="C8:G8"/>
    <mergeCell ref="C9:G9"/>
    <mergeCell ref="C10:G10"/>
    <mergeCell ref="C11:G11"/>
    <mergeCell ref="C12:G12"/>
    <mergeCell ref="C13:G13"/>
    <mergeCell ref="C14:G14"/>
    <mergeCell ref="C15:G15"/>
    <mergeCell ref="C16:G16"/>
    <mergeCell ref="C17:G17"/>
    <mergeCell ref="C18:G18"/>
    <mergeCell ref="C31:G31"/>
    <mergeCell ref="C20:G20"/>
    <mergeCell ref="C21:G21"/>
    <mergeCell ref="C22:G22"/>
    <mergeCell ref="C23:G23"/>
    <mergeCell ref="C24:G24"/>
    <mergeCell ref="C25:G25"/>
    <mergeCell ref="C26:G26"/>
    <mergeCell ref="C27:G27"/>
    <mergeCell ref="C28:G28"/>
    <mergeCell ref="C29:G29"/>
    <mergeCell ref="C30:G30"/>
    <mergeCell ref="C47:G47"/>
    <mergeCell ref="C32:G32"/>
    <mergeCell ref="C33:G33"/>
    <mergeCell ref="C34:G34"/>
    <mergeCell ref="C39:G39"/>
    <mergeCell ref="C40:G40"/>
    <mergeCell ref="C41:G41"/>
    <mergeCell ref="C42:G42"/>
    <mergeCell ref="C43:G43"/>
    <mergeCell ref="C44:G44"/>
    <mergeCell ref="C45:G45"/>
    <mergeCell ref="C46:G46"/>
    <mergeCell ref="C63:G63"/>
    <mergeCell ref="C48:G48"/>
    <mergeCell ref="C49:G49"/>
    <mergeCell ref="C50:G50"/>
    <mergeCell ref="C51:G51"/>
    <mergeCell ref="C52:G52"/>
    <mergeCell ref="C53:G53"/>
    <mergeCell ref="C54:G54"/>
    <mergeCell ref="C59:G59"/>
    <mergeCell ref="C60:G60"/>
    <mergeCell ref="C61:G61"/>
    <mergeCell ref="C62:G62"/>
  </mergeCells>
  <pageMargins left="0.7" right="0.7" top="0.75" bottom="0.75" header="0.3" footer="0.3"/>
  <pageSetup paperSize="9" scale="49" orientation="portrait" r:id="rId1"/>
  <headerFooter>
    <oddHeader xml:space="preserve">&amp;LInvestitor: Hrvatski institut za povijest&amp;CTroškovnik -Vodovod i odvodnja
&amp;Rdatum:
lipanj 2025.
</oddHeader>
    <oddFooter>&amp;CGrađevina:
Palača bogoštovlja i nastave&amp;Rstr.: &amp;P od &amp;N</oddFooter>
  </headerFooter>
  <rowBreaks count="1" manualBreakCount="1">
    <brk id="35" min="1"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T45"/>
  <sheetViews>
    <sheetView showGridLines="0" showZeros="0" zoomScaleNormal="100" zoomScaleSheetLayoutView="115" workbookViewId="0">
      <selection activeCell="B8" sqref="B8"/>
    </sheetView>
  </sheetViews>
  <sheetFormatPr defaultRowHeight="15"/>
  <cols>
    <col min="1" max="1" width="7.7109375" style="78" customWidth="1"/>
    <col min="2" max="2" width="50.7109375" style="78" customWidth="1"/>
    <col min="3" max="3" width="9" style="78" customWidth="1"/>
    <col min="4" max="4" width="8.7109375" style="78" customWidth="1"/>
    <col min="5" max="5" width="7.85546875" style="78" customWidth="1"/>
    <col min="6" max="6" width="12.140625" style="142" customWidth="1"/>
    <col min="7" max="12" width="9.140625" style="78"/>
    <col min="13" max="13" width="11" style="78" customWidth="1"/>
    <col min="14" max="256" width="9.140625" style="78"/>
    <col min="257" max="257" width="7.7109375" style="78" customWidth="1"/>
    <col min="258" max="258" width="50.7109375" style="78" customWidth="1"/>
    <col min="259" max="259" width="9" style="78" customWidth="1"/>
    <col min="260" max="260" width="8.7109375" style="78" customWidth="1"/>
    <col min="261" max="261" width="7.85546875" style="78" customWidth="1"/>
    <col min="262" max="262" width="12.140625" style="78" customWidth="1"/>
    <col min="263" max="268" width="9.140625" style="78"/>
    <col min="269" max="269" width="11" style="78" customWidth="1"/>
    <col min="270" max="512" width="9.140625" style="78"/>
    <col min="513" max="513" width="7.7109375" style="78" customWidth="1"/>
    <col min="514" max="514" width="50.7109375" style="78" customWidth="1"/>
    <col min="515" max="515" width="9" style="78" customWidth="1"/>
    <col min="516" max="516" width="8.7109375" style="78" customWidth="1"/>
    <col min="517" max="517" width="7.85546875" style="78" customWidth="1"/>
    <col min="518" max="518" width="12.140625" style="78" customWidth="1"/>
    <col min="519" max="524" width="9.140625" style="78"/>
    <col min="525" max="525" width="11" style="78" customWidth="1"/>
    <col min="526" max="768" width="9.140625" style="78"/>
    <col min="769" max="769" width="7.7109375" style="78" customWidth="1"/>
    <col min="770" max="770" width="50.7109375" style="78" customWidth="1"/>
    <col min="771" max="771" width="9" style="78" customWidth="1"/>
    <col min="772" max="772" width="8.7109375" style="78" customWidth="1"/>
    <col min="773" max="773" width="7.85546875" style="78" customWidth="1"/>
    <col min="774" max="774" width="12.140625" style="78" customWidth="1"/>
    <col min="775" max="780" width="9.140625" style="78"/>
    <col min="781" max="781" width="11" style="78" customWidth="1"/>
    <col min="782" max="1024" width="9.140625" style="78"/>
    <col min="1025" max="1025" width="7.7109375" style="78" customWidth="1"/>
    <col min="1026" max="1026" width="50.7109375" style="78" customWidth="1"/>
    <col min="1027" max="1027" width="9" style="78" customWidth="1"/>
    <col min="1028" max="1028" width="8.7109375" style="78" customWidth="1"/>
    <col min="1029" max="1029" width="7.85546875" style="78" customWidth="1"/>
    <col min="1030" max="1030" width="12.140625" style="78" customWidth="1"/>
    <col min="1031" max="1036" width="9.140625" style="78"/>
    <col min="1037" max="1037" width="11" style="78" customWidth="1"/>
    <col min="1038" max="1280" width="9.140625" style="78"/>
    <col min="1281" max="1281" width="7.7109375" style="78" customWidth="1"/>
    <col min="1282" max="1282" width="50.7109375" style="78" customWidth="1"/>
    <col min="1283" max="1283" width="9" style="78" customWidth="1"/>
    <col min="1284" max="1284" width="8.7109375" style="78" customWidth="1"/>
    <col min="1285" max="1285" width="7.85546875" style="78" customWidth="1"/>
    <col min="1286" max="1286" width="12.140625" style="78" customWidth="1"/>
    <col min="1287" max="1292" width="9.140625" style="78"/>
    <col min="1293" max="1293" width="11" style="78" customWidth="1"/>
    <col min="1294" max="1536" width="9.140625" style="78"/>
    <col min="1537" max="1537" width="7.7109375" style="78" customWidth="1"/>
    <col min="1538" max="1538" width="50.7109375" style="78" customWidth="1"/>
    <col min="1539" max="1539" width="9" style="78" customWidth="1"/>
    <col min="1540" max="1540" width="8.7109375" style="78" customWidth="1"/>
    <col min="1541" max="1541" width="7.85546875" style="78" customWidth="1"/>
    <col min="1542" max="1542" width="12.140625" style="78" customWidth="1"/>
    <col min="1543" max="1548" width="9.140625" style="78"/>
    <col min="1549" max="1549" width="11" style="78" customWidth="1"/>
    <col min="1550" max="1792" width="9.140625" style="78"/>
    <col min="1793" max="1793" width="7.7109375" style="78" customWidth="1"/>
    <col min="1794" max="1794" width="50.7109375" style="78" customWidth="1"/>
    <col min="1795" max="1795" width="9" style="78" customWidth="1"/>
    <col min="1796" max="1796" width="8.7109375" style="78" customWidth="1"/>
    <col min="1797" max="1797" width="7.85546875" style="78" customWidth="1"/>
    <col min="1798" max="1798" width="12.140625" style="78" customWidth="1"/>
    <col min="1799" max="1804" width="9.140625" style="78"/>
    <col min="1805" max="1805" width="11" style="78" customWidth="1"/>
    <col min="1806" max="2048" width="9.140625" style="78"/>
    <col min="2049" max="2049" width="7.7109375" style="78" customWidth="1"/>
    <col min="2050" max="2050" width="50.7109375" style="78" customWidth="1"/>
    <col min="2051" max="2051" width="9" style="78" customWidth="1"/>
    <col min="2052" max="2052" width="8.7109375" style="78" customWidth="1"/>
    <col min="2053" max="2053" width="7.85546875" style="78" customWidth="1"/>
    <col min="2054" max="2054" width="12.140625" style="78" customWidth="1"/>
    <col min="2055" max="2060" width="9.140625" style="78"/>
    <col min="2061" max="2061" width="11" style="78" customWidth="1"/>
    <col min="2062" max="2304" width="9.140625" style="78"/>
    <col min="2305" max="2305" width="7.7109375" style="78" customWidth="1"/>
    <col min="2306" max="2306" width="50.7109375" style="78" customWidth="1"/>
    <col min="2307" max="2307" width="9" style="78" customWidth="1"/>
    <col min="2308" max="2308" width="8.7109375" style="78" customWidth="1"/>
    <col min="2309" max="2309" width="7.85546875" style="78" customWidth="1"/>
    <col min="2310" max="2310" width="12.140625" style="78" customWidth="1"/>
    <col min="2311" max="2316" width="9.140625" style="78"/>
    <col min="2317" max="2317" width="11" style="78" customWidth="1"/>
    <col min="2318" max="2560" width="9.140625" style="78"/>
    <col min="2561" max="2561" width="7.7109375" style="78" customWidth="1"/>
    <col min="2562" max="2562" width="50.7109375" style="78" customWidth="1"/>
    <col min="2563" max="2563" width="9" style="78" customWidth="1"/>
    <col min="2564" max="2564" width="8.7109375" style="78" customWidth="1"/>
    <col min="2565" max="2565" width="7.85546875" style="78" customWidth="1"/>
    <col min="2566" max="2566" width="12.140625" style="78" customWidth="1"/>
    <col min="2567" max="2572" width="9.140625" style="78"/>
    <col min="2573" max="2573" width="11" style="78" customWidth="1"/>
    <col min="2574" max="2816" width="9.140625" style="78"/>
    <col min="2817" max="2817" width="7.7109375" style="78" customWidth="1"/>
    <col min="2818" max="2818" width="50.7109375" style="78" customWidth="1"/>
    <col min="2819" max="2819" width="9" style="78" customWidth="1"/>
    <col min="2820" max="2820" width="8.7109375" style="78" customWidth="1"/>
    <col min="2821" max="2821" width="7.85546875" style="78" customWidth="1"/>
    <col min="2822" max="2822" width="12.140625" style="78" customWidth="1"/>
    <col min="2823" max="2828" width="9.140625" style="78"/>
    <col min="2829" max="2829" width="11" style="78" customWidth="1"/>
    <col min="2830" max="3072" width="9.140625" style="78"/>
    <col min="3073" max="3073" width="7.7109375" style="78" customWidth="1"/>
    <col min="3074" max="3074" width="50.7109375" style="78" customWidth="1"/>
    <col min="3075" max="3075" width="9" style="78" customWidth="1"/>
    <col min="3076" max="3076" width="8.7109375" style="78" customWidth="1"/>
    <col min="3077" max="3077" width="7.85546875" style="78" customWidth="1"/>
    <col min="3078" max="3078" width="12.140625" style="78" customWidth="1"/>
    <col min="3079" max="3084" width="9.140625" style="78"/>
    <col min="3085" max="3085" width="11" style="78" customWidth="1"/>
    <col min="3086" max="3328" width="9.140625" style="78"/>
    <col min="3329" max="3329" width="7.7109375" style="78" customWidth="1"/>
    <col min="3330" max="3330" width="50.7109375" style="78" customWidth="1"/>
    <col min="3331" max="3331" width="9" style="78" customWidth="1"/>
    <col min="3332" max="3332" width="8.7109375" style="78" customWidth="1"/>
    <col min="3333" max="3333" width="7.85546875" style="78" customWidth="1"/>
    <col min="3334" max="3334" width="12.140625" style="78" customWidth="1"/>
    <col min="3335" max="3340" width="9.140625" style="78"/>
    <col min="3341" max="3341" width="11" style="78" customWidth="1"/>
    <col min="3342" max="3584" width="9.140625" style="78"/>
    <col min="3585" max="3585" width="7.7109375" style="78" customWidth="1"/>
    <col min="3586" max="3586" width="50.7109375" style="78" customWidth="1"/>
    <col min="3587" max="3587" width="9" style="78" customWidth="1"/>
    <col min="3588" max="3588" width="8.7109375" style="78" customWidth="1"/>
    <col min="3589" max="3589" width="7.85546875" style="78" customWidth="1"/>
    <col min="3590" max="3590" width="12.140625" style="78" customWidth="1"/>
    <col min="3591" max="3596" width="9.140625" style="78"/>
    <col min="3597" max="3597" width="11" style="78" customWidth="1"/>
    <col min="3598" max="3840" width="9.140625" style="78"/>
    <col min="3841" max="3841" width="7.7109375" style="78" customWidth="1"/>
    <col min="3842" max="3842" width="50.7109375" style="78" customWidth="1"/>
    <col min="3843" max="3843" width="9" style="78" customWidth="1"/>
    <col min="3844" max="3844" width="8.7109375" style="78" customWidth="1"/>
    <col min="3845" max="3845" width="7.85546875" style="78" customWidth="1"/>
    <col min="3846" max="3846" width="12.140625" style="78" customWidth="1"/>
    <col min="3847" max="3852" width="9.140625" style="78"/>
    <col min="3853" max="3853" width="11" style="78" customWidth="1"/>
    <col min="3854" max="4096" width="9.140625" style="78"/>
    <col min="4097" max="4097" width="7.7109375" style="78" customWidth="1"/>
    <col min="4098" max="4098" width="50.7109375" style="78" customWidth="1"/>
    <col min="4099" max="4099" width="9" style="78" customWidth="1"/>
    <col min="4100" max="4100" width="8.7109375" style="78" customWidth="1"/>
    <col min="4101" max="4101" width="7.85546875" style="78" customWidth="1"/>
    <col min="4102" max="4102" width="12.140625" style="78" customWidth="1"/>
    <col min="4103" max="4108" width="9.140625" style="78"/>
    <col min="4109" max="4109" width="11" style="78" customWidth="1"/>
    <col min="4110" max="4352" width="9.140625" style="78"/>
    <col min="4353" max="4353" width="7.7109375" style="78" customWidth="1"/>
    <col min="4354" max="4354" width="50.7109375" style="78" customWidth="1"/>
    <col min="4355" max="4355" width="9" style="78" customWidth="1"/>
    <col min="4356" max="4356" width="8.7109375" style="78" customWidth="1"/>
    <col min="4357" max="4357" width="7.85546875" style="78" customWidth="1"/>
    <col min="4358" max="4358" width="12.140625" style="78" customWidth="1"/>
    <col min="4359" max="4364" width="9.140625" style="78"/>
    <col min="4365" max="4365" width="11" style="78" customWidth="1"/>
    <col min="4366" max="4608" width="9.140625" style="78"/>
    <col min="4609" max="4609" width="7.7109375" style="78" customWidth="1"/>
    <col min="4610" max="4610" width="50.7109375" style="78" customWidth="1"/>
    <col min="4611" max="4611" width="9" style="78" customWidth="1"/>
    <col min="4612" max="4612" width="8.7109375" style="78" customWidth="1"/>
    <col min="4613" max="4613" width="7.85546875" style="78" customWidth="1"/>
    <col min="4614" max="4614" width="12.140625" style="78" customWidth="1"/>
    <col min="4615" max="4620" width="9.140625" style="78"/>
    <col min="4621" max="4621" width="11" style="78" customWidth="1"/>
    <col min="4622" max="4864" width="9.140625" style="78"/>
    <col min="4865" max="4865" width="7.7109375" style="78" customWidth="1"/>
    <col min="4866" max="4866" width="50.7109375" style="78" customWidth="1"/>
    <col min="4867" max="4867" width="9" style="78" customWidth="1"/>
    <col min="4868" max="4868" width="8.7109375" style="78" customWidth="1"/>
    <col min="4869" max="4869" width="7.85546875" style="78" customWidth="1"/>
    <col min="4870" max="4870" width="12.140625" style="78" customWidth="1"/>
    <col min="4871" max="4876" width="9.140625" style="78"/>
    <col min="4877" max="4877" width="11" style="78" customWidth="1"/>
    <col min="4878" max="5120" width="9.140625" style="78"/>
    <col min="5121" max="5121" width="7.7109375" style="78" customWidth="1"/>
    <col min="5122" max="5122" width="50.7109375" style="78" customWidth="1"/>
    <col min="5123" max="5123" width="9" style="78" customWidth="1"/>
    <col min="5124" max="5124" width="8.7109375" style="78" customWidth="1"/>
    <col min="5125" max="5125" width="7.85546875" style="78" customWidth="1"/>
    <col min="5126" max="5126" width="12.140625" style="78" customWidth="1"/>
    <col min="5127" max="5132" width="9.140625" style="78"/>
    <col min="5133" max="5133" width="11" style="78" customWidth="1"/>
    <col min="5134" max="5376" width="9.140625" style="78"/>
    <col min="5377" max="5377" width="7.7109375" style="78" customWidth="1"/>
    <col min="5378" max="5378" width="50.7109375" style="78" customWidth="1"/>
    <col min="5379" max="5379" width="9" style="78" customWidth="1"/>
    <col min="5380" max="5380" width="8.7109375" style="78" customWidth="1"/>
    <col min="5381" max="5381" width="7.85546875" style="78" customWidth="1"/>
    <col min="5382" max="5382" width="12.140625" style="78" customWidth="1"/>
    <col min="5383" max="5388" width="9.140625" style="78"/>
    <col min="5389" max="5389" width="11" style="78" customWidth="1"/>
    <col min="5390" max="5632" width="9.140625" style="78"/>
    <col min="5633" max="5633" width="7.7109375" style="78" customWidth="1"/>
    <col min="5634" max="5634" width="50.7109375" style="78" customWidth="1"/>
    <col min="5635" max="5635" width="9" style="78" customWidth="1"/>
    <col min="5636" max="5636" width="8.7109375" style="78" customWidth="1"/>
    <col min="5637" max="5637" width="7.85546875" style="78" customWidth="1"/>
    <col min="5638" max="5638" width="12.140625" style="78" customWidth="1"/>
    <col min="5639" max="5644" width="9.140625" style="78"/>
    <col min="5645" max="5645" width="11" style="78" customWidth="1"/>
    <col min="5646" max="5888" width="9.140625" style="78"/>
    <col min="5889" max="5889" width="7.7109375" style="78" customWidth="1"/>
    <col min="5890" max="5890" width="50.7109375" style="78" customWidth="1"/>
    <col min="5891" max="5891" width="9" style="78" customWidth="1"/>
    <col min="5892" max="5892" width="8.7109375" style="78" customWidth="1"/>
    <col min="5893" max="5893" width="7.85546875" style="78" customWidth="1"/>
    <col min="5894" max="5894" width="12.140625" style="78" customWidth="1"/>
    <col min="5895" max="5900" width="9.140625" style="78"/>
    <col min="5901" max="5901" width="11" style="78" customWidth="1"/>
    <col min="5902" max="6144" width="9.140625" style="78"/>
    <col min="6145" max="6145" width="7.7109375" style="78" customWidth="1"/>
    <col min="6146" max="6146" width="50.7109375" style="78" customWidth="1"/>
    <col min="6147" max="6147" width="9" style="78" customWidth="1"/>
    <col min="6148" max="6148" width="8.7109375" style="78" customWidth="1"/>
    <col min="6149" max="6149" width="7.85546875" style="78" customWidth="1"/>
    <col min="6150" max="6150" width="12.140625" style="78" customWidth="1"/>
    <col min="6151" max="6156" width="9.140625" style="78"/>
    <col min="6157" max="6157" width="11" style="78" customWidth="1"/>
    <col min="6158" max="6400" width="9.140625" style="78"/>
    <col min="6401" max="6401" width="7.7109375" style="78" customWidth="1"/>
    <col min="6402" max="6402" width="50.7109375" style="78" customWidth="1"/>
    <col min="6403" max="6403" width="9" style="78" customWidth="1"/>
    <col min="6404" max="6404" width="8.7109375" style="78" customWidth="1"/>
    <col min="6405" max="6405" width="7.85546875" style="78" customWidth="1"/>
    <col min="6406" max="6406" width="12.140625" style="78" customWidth="1"/>
    <col min="6407" max="6412" width="9.140625" style="78"/>
    <col min="6413" max="6413" width="11" style="78" customWidth="1"/>
    <col min="6414" max="6656" width="9.140625" style="78"/>
    <col min="6657" max="6657" width="7.7109375" style="78" customWidth="1"/>
    <col min="6658" max="6658" width="50.7109375" style="78" customWidth="1"/>
    <col min="6659" max="6659" width="9" style="78" customWidth="1"/>
    <col min="6660" max="6660" width="8.7109375" style="78" customWidth="1"/>
    <col min="6661" max="6661" width="7.85546875" style="78" customWidth="1"/>
    <col min="6662" max="6662" width="12.140625" style="78" customWidth="1"/>
    <col min="6663" max="6668" width="9.140625" style="78"/>
    <col min="6669" max="6669" width="11" style="78" customWidth="1"/>
    <col min="6670" max="6912" width="9.140625" style="78"/>
    <col min="6913" max="6913" width="7.7109375" style="78" customWidth="1"/>
    <col min="6914" max="6914" width="50.7109375" style="78" customWidth="1"/>
    <col min="6915" max="6915" width="9" style="78" customWidth="1"/>
    <col min="6916" max="6916" width="8.7109375" style="78" customWidth="1"/>
    <col min="6917" max="6917" width="7.85546875" style="78" customWidth="1"/>
    <col min="6918" max="6918" width="12.140625" style="78" customWidth="1"/>
    <col min="6919" max="6924" width="9.140625" style="78"/>
    <col min="6925" max="6925" width="11" style="78" customWidth="1"/>
    <col min="6926" max="7168" width="9.140625" style="78"/>
    <col min="7169" max="7169" width="7.7109375" style="78" customWidth="1"/>
    <col min="7170" max="7170" width="50.7109375" style="78" customWidth="1"/>
    <col min="7171" max="7171" width="9" style="78" customWidth="1"/>
    <col min="7172" max="7172" width="8.7109375" style="78" customWidth="1"/>
    <col min="7173" max="7173" width="7.85546875" style="78" customWidth="1"/>
    <col min="7174" max="7174" width="12.140625" style="78" customWidth="1"/>
    <col min="7175" max="7180" width="9.140625" style="78"/>
    <col min="7181" max="7181" width="11" style="78" customWidth="1"/>
    <col min="7182" max="7424" width="9.140625" style="78"/>
    <col min="7425" max="7425" width="7.7109375" style="78" customWidth="1"/>
    <col min="7426" max="7426" width="50.7109375" style="78" customWidth="1"/>
    <col min="7427" max="7427" width="9" style="78" customWidth="1"/>
    <col min="7428" max="7428" width="8.7109375" style="78" customWidth="1"/>
    <col min="7429" max="7429" width="7.85546875" style="78" customWidth="1"/>
    <col min="7430" max="7430" width="12.140625" style="78" customWidth="1"/>
    <col min="7431" max="7436" width="9.140625" style="78"/>
    <col min="7437" max="7437" width="11" style="78" customWidth="1"/>
    <col min="7438" max="7680" width="9.140625" style="78"/>
    <col min="7681" max="7681" width="7.7109375" style="78" customWidth="1"/>
    <col min="7682" max="7682" width="50.7109375" style="78" customWidth="1"/>
    <col min="7683" max="7683" width="9" style="78" customWidth="1"/>
    <col min="7684" max="7684" width="8.7109375" style="78" customWidth="1"/>
    <col min="7685" max="7685" width="7.85546875" style="78" customWidth="1"/>
    <col min="7686" max="7686" width="12.140625" style="78" customWidth="1"/>
    <col min="7687" max="7692" width="9.140625" style="78"/>
    <col min="7693" max="7693" width="11" style="78" customWidth="1"/>
    <col min="7694" max="7936" width="9.140625" style="78"/>
    <col min="7937" max="7937" width="7.7109375" style="78" customWidth="1"/>
    <col min="7938" max="7938" width="50.7109375" style="78" customWidth="1"/>
    <col min="7939" max="7939" width="9" style="78" customWidth="1"/>
    <col min="7940" max="7940" width="8.7109375" style="78" customWidth="1"/>
    <col min="7941" max="7941" width="7.85546875" style="78" customWidth="1"/>
    <col min="7942" max="7942" width="12.140625" style="78" customWidth="1"/>
    <col min="7943" max="7948" width="9.140625" style="78"/>
    <col min="7949" max="7949" width="11" style="78" customWidth="1"/>
    <col min="7950" max="8192" width="9.140625" style="78"/>
    <col min="8193" max="8193" width="7.7109375" style="78" customWidth="1"/>
    <col min="8194" max="8194" width="50.7109375" style="78" customWidth="1"/>
    <col min="8195" max="8195" width="9" style="78" customWidth="1"/>
    <col min="8196" max="8196" width="8.7109375" style="78" customWidth="1"/>
    <col min="8197" max="8197" width="7.85546875" style="78" customWidth="1"/>
    <col min="8198" max="8198" width="12.140625" style="78" customWidth="1"/>
    <col min="8199" max="8204" width="9.140625" style="78"/>
    <col min="8205" max="8205" width="11" style="78" customWidth="1"/>
    <col min="8206" max="8448" width="9.140625" style="78"/>
    <col min="8449" max="8449" width="7.7109375" style="78" customWidth="1"/>
    <col min="8450" max="8450" width="50.7109375" style="78" customWidth="1"/>
    <col min="8451" max="8451" width="9" style="78" customWidth="1"/>
    <col min="8452" max="8452" width="8.7109375" style="78" customWidth="1"/>
    <col min="8453" max="8453" width="7.85546875" style="78" customWidth="1"/>
    <col min="8454" max="8454" width="12.140625" style="78" customWidth="1"/>
    <col min="8455" max="8460" width="9.140625" style="78"/>
    <col min="8461" max="8461" width="11" style="78" customWidth="1"/>
    <col min="8462" max="8704" width="9.140625" style="78"/>
    <col min="8705" max="8705" width="7.7109375" style="78" customWidth="1"/>
    <col min="8706" max="8706" width="50.7109375" style="78" customWidth="1"/>
    <col min="8707" max="8707" width="9" style="78" customWidth="1"/>
    <col min="8708" max="8708" width="8.7109375" style="78" customWidth="1"/>
    <col min="8709" max="8709" width="7.85546875" style="78" customWidth="1"/>
    <col min="8710" max="8710" width="12.140625" style="78" customWidth="1"/>
    <col min="8711" max="8716" width="9.140625" style="78"/>
    <col min="8717" max="8717" width="11" style="78" customWidth="1"/>
    <col min="8718" max="8960" width="9.140625" style="78"/>
    <col min="8961" max="8961" width="7.7109375" style="78" customWidth="1"/>
    <col min="8962" max="8962" width="50.7109375" style="78" customWidth="1"/>
    <col min="8963" max="8963" width="9" style="78" customWidth="1"/>
    <col min="8964" max="8964" width="8.7109375" style="78" customWidth="1"/>
    <col min="8965" max="8965" width="7.85546875" style="78" customWidth="1"/>
    <col min="8966" max="8966" width="12.140625" style="78" customWidth="1"/>
    <col min="8967" max="8972" width="9.140625" style="78"/>
    <col min="8973" max="8973" width="11" style="78" customWidth="1"/>
    <col min="8974" max="9216" width="9.140625" style="78"/>
    <col min="9217" max="9217" width="7.7109375" style="78" customWidth="1"/>
    <col min="9218" max="9218" width="50.7109375" style="78" customWidth="1"/>
    <col min="9219" max="9219" width="9" style="78" customWidth="1"/>
    <col min="9220" max="9220" width="8.7109375" style="78" customWidth="1"/>
    <col min="9221" max="9221" width="7.85546875" style="78" customWidth="1"/>
    <col min="9222" max="9222" width="12.140625" style="78" customWidth="1"/>
    <col min="9223" max="9228" width="9.140625" style="78"/>
    <col min="9229" max="9229" width="11" style="78" customWidth="1"/>
    <col min="9230" max="9472" width="9.140625" style="78"/>
    <col min="9473" max="9473" width="7.7109375" style="78" customWidth="1"/>
    <col min="9474" max="9474" width="50.7109375" style="78" customWidth="1"/>
    <col min="9475" max="9475" width="9" style="78" customWidth="1"/>
    <col min="9476" max="9476" width="8.7109375" style="78" customWidth="1"/>
    <col min="9477" max="9477" width="7.85546875" style="78" customWidth="1"/>
    <col min="9478" max="9478" width="12.140625" style="78" customWidth="1"/>
    <col min="9479" max="9484" width="9.140625" style="78"/>
    <col min="9485" max="9485" width="11" style="78" customWidth="1"/>
    <col min="9486" max="9728" width="9.140625" style="78"/>
    <col min="9729" max="9729" width="7.7109375" style="78" customWidth="1"/>
    <col min="9730" max="9730" width="50.7109375" style="78" customWidth="1"/>
    <col min="9731" max="9731" width="9" style="78" customWidth="1"/>
    <col min="9732" max="9732" width="8.7109375" style="78" customWidth="1"/>
    <col min="9733" max="9733" width="7.85546875" style="78" customWidth="1"/>
    <col min="9734" max="9734" width="12.140625" style="78" customWidth="1"/>
    <col min="9735" max="9740" width="9.140625" style="78"/>
    <col min="9741" max="9741" width="11" style="78" customWidth="1"/>
    <col min="9742" max="9984" width="9.140625" style="78"/>
    <col min="9985" max="9985" width="7.7109375" style="78" customWidth="1"/>
    <col min="9986" max="9986" width="50.7109375" style="78" customWidth="1"/>
    <col min="9987" max="9987" width="9" style="78" customWidth="1"/>
    <col min="9988" max="9988" width="8.7109375" style="78" customWidth="1"/>
    <col min="9989" max="9989" width="7.85546875" style="78" customWidth="1"/>
    <col min="9990" max="9990" width="12.140625" style="78" customWidth="1"/>
    <col min="9991" max="9996" width="9.140625" style="78"/>
    <col min="9997" max="9997" width="11" style="78" customWidth="1"/>
    <col min="9998" max="10240" width="9.140625" style="78"/>
    <col min="10241" max="10241" width="7.7109375" style="78" customWidth="1"/>
    <col min="10242" max="10242" width="50.7109375" style="78" customWidth="1"/>
    <col min="10243" max="10243" width="9" style="78" customWidth="1"/>
    <col min="10244" max="10244" width="8.7109375" style="78" customWidth="1"/>
    <col min="10245" max="10245" width="7.85546875" style="78" customWidth="1"/>
    <col min="10246" max="10246" width="12.140625" style="78" customWidth="1"/>
    <col min="10247" max="10252" width="9.140625" style="78"/>
    <col min="10253" max="10253" width="11" style="78" customWidth="1"/>
    <col min="10254" max="10496" width="9.140625" style="78"/>
    <col min="10497" max="10497" width="7.7109375" style="78" customWidth="1"/>
    <col min="10498" max="10498" width="50.7109375" style="78" customWidth="1"/>
    <col min="10499" max="10499" width="9" style="78" customWidth="1"/>
    <col min="10500" max="10500" width="8.7109375" style="78" customWidth="1"/>
    <col min="10501" max="10501" width="7.85546875" style="78" customWidth="1"/>
    <col min="10502" max="10502" width="12.140625" style="78" customWidth="1"/>
    <col min="10503" max="10508" width="9.140625" style="78"/>
    <col min="10509" max="10509" width="11" style="78" customWidth="1"/>
    <col min="10510" max="10752" width="9.140625" style="78"/>
    <col min="10753" max="10753" width="7.7109375" style="78" customWidth="1"/>
    <col min="10754" max="10754" width="50.7109375" style="78" customWidth="1"/>
    <col min="10755" max="10755" width="9" style="78" customWidth="1"/>
    <col min="10756" max="10756" width="8.7109375" style="78" customWidth="1"/>
    <col min="10757" max="10757" width="7.85546875" style="78" customWidth="1"/>
    <col min="10758" max="10758" width="12.140625" style="78" customWidth="1"/>
    <col min="10759" max="10764" width="9.140625" style="78"/>
    <col min="10765" max="10765" width="11" style="78" customWidth="1"/>
    <col min="10766" max="11008" width="9.140625" style="78"/>
    <col min="11009" max="11009" width="7.7109375" style="78" customWidth="1"/>
    <col min="11010" max="11010" width="50.7109375" style="78" customWidth="1"/>
    <col min="11011" max="11011" width="9" style="78" customWidth="1"/>
    <col min="11012" max="11012" width="8.7109375" style="78" customWidth="1"/>
    <col min="11013" max="11013" width="7.85546875" style="78" customWidth="1"/>
    <col min="11014" max="11014" width="12.140625" style="78" customWidth="1"/>
    <col min="11015" max="11020" width="9.140625" style="78"/>
    <col min="11021" max="11021" width="11" style="78" customWidth="1"/>
    <col min="11022" max="11264" width="9.140625" style="78"/>
    <col min="11265" max="11265" width="7.7109375" style="78" customWidth="1"/>
    <col min="11266" max="11266" width="50.7109375" style="78" customWidth="1"/>
    <col min="11267" max="11267" width="9" style="78" customWidth="1"/>
    <col min="11268" max="11268" width="8.7109375" style="78" customWidth="1"/>
    <col min="11269" max="11269" width="7.85546875" style="78" customWidth="1"/>
    <col min="11270" max="11270" width="12.140625" style="78" customWidth="1"/>
    <col min="11271" max="11276" width="9.140625" style="78"/>
    <col min="11277" max="11277" width="11" style="78" customWidth="1"/>
    <col min="11278" max="11520" width="9.140625" style="78"/>
    <col min="11521" max="11521" width="7.7109375" style="78" customWidth="1"/>
    <col min="11522" max="11522" width="50.7109375" style="78" customWidth="1"/>
    <col min="11523" max="11523" width="9" style="78" customWidth="1"/>
    <col min="11524" max="11524" width="8.7109375" style="78" customWidth="1"/>
    <col min="11525" max="11525" width="7.85546875" style="78" customWidth="1"/>
    <col min="11526" max="11526" width="12.140625" style="78" customWidth="1"/>
    <col min="11527" max="11532" width="9.140625" style="78"/>
    <col min="11533" max="11533" width="11" style="78" customWidth="1"/>
    <col min="11534" max="11776" width="9.140625" style="78"/>
    <col min="11777" max="11777" width="7.7109375" style="78" customWidth="1"/>
    <col min="11778" max="11778" width="50.7109375" style="78" customWidth="1"/>
    <col min="11779" max="11779" width="9" style="78" customWidth="1"/>
    <col min="11780" max="11780" width="8.7109375" style="78" customWidth="1"/>
    <col min="11781" max="11781" width="7.85546875" style="78" customWidth="1"/>
    <col min="11782" max="11782" width="12.140625" style="78" customWidth="1"/>
    <col min="11783" max="11788" width="9.140625" style="78"/>
    <col min="11789" max="11789" width="11" style="78" customWidth="1"/>
    <col min="11790" max="12032" width="9.140625" style="78"/>
    <col min="12033" max="12033" width="7.7109375" style="78" customWidth="1"/>
    <col min="12034" max="12034" width="50.7109375" style="78" customWidth="1"/>
    <col min="12035" max="12035" width="9" style="78" customWidth="1"/>
    <col min="12036" max="12036" width="8.7109375" style="78" customWidth="1"/>
    <col min="12037" max="12037" width="7.85546875" style="78" customWidth="1"/>
    <col min="12038" max="12038" width="12.140625" style="78" customWidth="1"/>
    <col min="12039" max="12044" width="9.140625" style="78"/>
    <col min="12045" max="12045" width="11" style="78" customWidth="1"/>
    <col min="12046" max="12288" width="9.140625" style="78"/>
    <col min="12289" max="12289" width="7.7109375" style="78" customWidth="1"/>
    <col min="12290" max="12290" width="50.7109375" style="78" customWidth="1"/>
    <col min="12291" max="12291" width="9" style="78" customWidth="1"/>
    <col min="12292" max="12292" width="8.7109375" style="78" customWidth="1"/>
    <col min="12293" max="12293" width="7.85546875" style="78" customWidth="1"/>
    <col min="12294" max="12294" width="12.140625" style="78" customWidth="1"/>
    <col min="12295" max="12300" width="9.140625" style="78"/>
    <col min="12301" max="12301" width="11" style="78" customWidth="1"/>
    <col min="12302" max="12544" width="9.140625" style="78"/>
    <col min="12545" max="12545" width="7.7109375" style="78" customWidth="1"/>
    <col min="12546" max="12546" width="50.7109375" style="78" customWidth="1"/>
    <col min="12547" max="12547" width="9" style="78" customWidth="1"/>
    <col min="12548" max="12548" width="8.7109375" style="78" customWidth="1"/>
    <col min="12549" max="12549" width="7.85546875" style="78" customWidth="1"/>
    <col min="12550" max="12550" width="12.140625" style="78" customWidth="1"/>
    <col min="12551" max="12556" width="9.140625" style="78"/>
    <col min="12557" max="12557" width="11" style="78" customWidth="1"/>
    <col min="12558" max="12800" width="9.140625" style="78"/>
    <col min="12801" max="12801" width="7.7109375" style="78" customWidth="1"/>
    <col min="12802" max="12802" width="50.7109375" style="78" customWidth="1"/>
    <col min="12803" max="12803" width="9" style="78" customWidth="1"/>
    <col min="12804" max="12804" width="8.7109375" style="78" customWidth="1"/>
    <col min="12805" max="12805" width="7.85546875" style="78" customWidth="1"/>
    <col min="12806" max="12806" width="12.140625" style="78" customWidth="1"/>
    <col min="12807" max="12812" width="9.140625" style="78"/>
    <col min="12813" max="12813" width="11" style="78" customWidth="1"/>
    <col min="12814" max="13056" width="9.140625" style="78"/>
    <col min="13057" max="13057" width="7.7109375" style="78" customWidth="1"/>
    <col min="13058" max="13058" width="50.7109375" style="78" customWidth="1"/>
    <col min="13059" max="13059" width="9" style="78" customWidth="1"/>
    <col min="13060" max="13060" width="8.7109375" style="78" customWidth="1"/>
    <col min="13061" max="13061" width="7.85546875" style="78" customWidth="1"/>
    <col min="13062" max="13062" width="12.140625" style="78" customWidth="1"/>
    <col min="13063" max="13068" width="9.140625" style="78"/>
    <col min="13069" max="13069" width="11" style="78" customWidth="1"/>
    <col min="13070" max="13312" width="9.140625" style="78"/>
    <col min="13313" max="13313" width="7.7109375" style="78" customWidth="1"/>
    <col min="13314" max="13314" width="50.7109375" style="78" customWidth="1"/>
    <col min="13315" max="13315" width="9" style="78" customWidth="1"/>
    <col min="13316" max="13316" width="8.7109375" style="78" customWidth="1"/>
    <col min="13317" max="13317" width="7.85546875" style="78" customWidth="1"/>
    <col min="13318" max="13318" width="12.140625" style="78" customWidth="1"/>
    <col min="13319" max="13324" width="9.140625" style="78"/>
    <col min="13325" max="13325" width="11" style="78" customWidth="1"/>
    <col min="13326" max="13568" width="9.140625" style="78"/>
    <col min="13569" max="13569" width="7.7109375" style="78" customWidth="1"/>
    <col min="13570" max="13570" width="50.7109375" style="78" customWidth="1"/>
    <col min="13571" max="13571" width="9" style="78" customWidth="1"/>
    <col min="13572" max="13572" width="8.7109375" style="78" customWidth="1"/>
    <col min="13573" max="13573" width="7.85546875" style="78" customWidth="1"/>
    <col min="13574" max="13574" width="12.140625" style="78" customWidth="1"/>
    <col min="13575" max="13580" width="9.140625" style="78"/>
    <col min="13581" max="13581" width="11" style="78" customWidth="1"/>
    <col min="13582" max="13824" width="9.140625" style="78"/>
    <col min="13825" max="13825" width="7.7109375" style="78" customWidth="1"/>
    <col min="13826" max="13826" width="50.7109375" style="78" customWidth="1"/>
    <col min="13827" max="13827" width="9" style="78" customWidth="1"/>
    <col min="13828" max="13828" width="8.7109375" style="78" customWidth="1"/>
    <col min="13829" max="13829" width="7.85546875" style="78" customWidth="1"/>
    <col min="13830" max="13830" width="12.140625" style="78" customWidth="1"/>
    <col min="13831" max="13836" width="9.140625" style="78"/>
    <col min="13837" max="13837" width="11" style="78" customWidth="1"/>
    <col min="13838" max="14080" width="9.140625" style="78"/>
    <col min="14081" max="14081" width="7.7109375" style="78" customWidth="1"/>
    <col min="14082" max="14082" width="50.7109375" style="78" customWidth="1"/>
    <col min="14083" max="14083" width="9" style="78" customWidth="1"/>
    <col min="14084" max="14084" width="8.7109375" style="78" customWidth="1"/>
    <col min="14085" max="14085" width="7.85546875" style="78" customWidth="1"/>
    <col min="14086" max="14086" width="12.140625" style="78" customWidth="1"/>
    <col min="14087" max="14092" width="9.140625" style="78"/>
    <col min="14093" max="14093" width="11" style="78" customWidth="1"/>
    <col min="14094" max="14336" width="9.140625" style="78"/>
    <col min="14337" max="14337" width="7.7109375" style="78" customWidth="1"/>
    <col min="14338" max="14338" width="50.7109375" style="78" customWidth="1"/>
    <col min="14339" max="14339" width="9" style="78" customWidth="1"/>
    <col min="14340" max="14340" width="8.7109375" style="78" customWidth="1"/>
    <col min="14341" max="14341" width="7.85546875" style="78" customWidth="1"/>
    <col min="14342" max="14342" width="12.140625" style="78" customWidth="1"/>
    <col min="14343" max="14348" width="9.140625" style="78"/>
    <col min="14349" max="14349" width="11" style="78" customWidth="1"/>
    <col min="14350" max="14592" width="9.140625" style="78"/>
    <col min="14593" max="14593" width="7.7109375" style="78" customWidth="1"/>
    <col min="14594" max="14594" width="50.7109375" style="78" customWidth="1"/>
    <col min="14595" max="14595" width="9" style="78" customWidth="1"/>
    <col min="14596" max="14596" width="8.7109375" style="78" customWidth="1"/>
    <col min="14597" max="14597" width="7.85546875" style="78" customWidth="1"/>
    <col min="14598" max="14598" width="12.140625" style="78" customWidth="1"/>
    <col min="14599" max="14604" width="9.140625" style="78"/>
    <col min="14605" max="14605" width="11" style="78" customWidth="1"/>
    <col min="14606" max="14848" width="9.140625" style="78"/>
    <col min="14849" max="14849" width="7.7109375" style="78" customWidth="1"/>
    <col min="14850" max="14850" width="50.7109375" style="78" customWidth="1"/>
    <col min="14851" max="14851" width="9" style="78" customWidth="1"/>
    <col min="14852" max="14852" width="8.7109375" style="78" customWidth="1"/>
    <col min="14853" max="14853" width="7.85546875" style="78" customWidth="1"/>
    <col min="14854" max="14854" width="12.140625" style="78" customWidth="1"/>
    <col min="14855" max="14860" width="9.140625" style="78"/>
    <col min="14861" max="14861" width="11" style="78" customWidth="1"/>
    <col min="14862" max="15104" width="9.140625" style="78"/>
    <col min="15105" max="15105" width="7.7109375" style="78" customWidth="1"/>
    <col min="15106" max="15106" width="50.7109375" style="78" customWidth="1"/>
    <col min="15107" max="15107" width="9" style="78" customWidth="1"/>
    <col min="15108" max="15108" width="8.7109375" style="78" customWidth="1"/>
    <col min="15109" max="15109" width="7.85546875" style="78" customWidth="1"/>
    <col min="15110" max="15110" width="12.140625" style="78" customWidth="1"/>
    <col min="15111" max="15116" width="9.140625" style="78"/>
    <col min="15117" max="15117" width="11" style="78" customWidth="1"/>
    <col min="15118" max="15360" width="9.140625" style="78"/>
    <col min="15361" max="15361" width="7.7109375" style="78" customWidth="1"/>
    <col min="15362" max="15362" width="50.7109375" style="78" customWidth="1"/>
    <col min="15363" max="15363" width="9" style="78" customWidth="1"/>
    <col min="15364" max="15364" width="8.7109375" style="78" customWidth="1"/>
    <col min="15365" max="15365" width="7.85546875" style="78" customWidth="1"/>
    <col min="15366" max="15366" width="12.140625" style="78" customWidth="1"/>
    <col min="15367" max="15372" width="9.140625" style="78"/>
    <col min="15373" max="15373" width="11" style="78" customWidth="1"/>
    <col min="15374" max="15616" width="9.140625" style="78"/>
    <col min="15617" max="15617" width="7.7109375" style="78" customWidth="1"/>
    <col min="15618" max="15618" width="50.7109375" style="78" customWidth="1"/>
    <col min="15619" max="15619" width="9" style="78" customWidth="1"/>
    <col min="15620" max="15620" width="8.7109375" style="78" customWidth="1"/>
    <col min="15621" max="15621" width="7.85546875" style="78" customWidth="1"/>
    <col min="15622" max="15622" width="12.140625" style="78" customWidth="1"/>
    <col min="15623" max="15628" width="9.140625" style="78"/>
    <col min="15629" max="15629" width="11" style="78" customWidth="1"/>
    <col min="15630" max="15872" width="9.140625" style="78"/>
    <col min="15873" max="15873" width="7.7109375" style="78" customWidth="1"/>
    <col min="15874" max="15874" width="50.7109375" style="78" customWidth="1"/>
    <col min="15875" max="15875" width="9" style="78" customWidth="1"/>
    <col min="15876" max="15876" width="8.7109375" style="78" customWidth="1"/>
    <col min="15877" max="15877" width="7.85546875" style="78" customWidth="1"/>
    <col min="15878" max="15878" width="12.140625" style="78" customWidth="1"/>
    <col min="15879" max="15884" width="9.140625" style="78"/>
    <col min="15885" max="15885" width="11" style="78" customWidth="1"/>
    <col min="15886" max="16128" width="9.140625" style="78"/>
    <col min="16129" max="16129" width="7.7109375" style="78" customWidth="1"/>
    <col min="16130" max="16130" width="50.7109375" style="78" customWidth="1"/>
    <col min="16131" max="16131" width="9" style="78" customWidth="1"/>
    <col min="16132" max="16132" width="8.7109375" style="78" customWidth="1"/>
    <col min="16133" max="16133" width="7.85546875" style="78" customWidth="1"/>
    <col min="16134" max="16134" width="12.140625" style="78" customWidth="1"/>
    <col min="16135" max="16140" width="9.140625" style="78"/>
    <col min="16141" max="16141" width="11" style="78" customWidth="1"/>
    <col min="16142" max="16384" width="9.140625" style="78"/>
  </cols>
  <sheetData>
    <row r="1" spans="1:20" ht="60" customHeight="1" thickTop="1" thickBot="1">
      <c r="A1" s="77"/>
      <c r="B1" s="1687"/>
      <c r="C1" s="1688"/>
      <c r="D1" s="1688"/>
      <c r="E1" s="1688"/>
      <c r="F1" s="1688"/>
    </row>
    <row r="2" spans="1:20" ht="28.5" customHeight="1" thickTop="1">
      <c r="A2" s="1689" t="s">
        <v>3928</v>
      </c>
      <c r="B2" s="1690"/>
      <c r="C2" s="1690"/>
      <c r="D2" s="1690"/>
      <c r="E2" s="1690"/>
      <c r="F2" s="1691"/>
    </row>
    <row r="3" spans="1:20" ht="22.5">
      <c r="A3" s="79" t="s">
        <v>992</v>
      </c>
      <c r="B3" s="80" t="s">
        <v>3929</v>
      </c>
      <c r="C3" s="81"/>
      <c r="D3" s="81"/>
      <c r="E3" s="81"/>
      <c r="F3" s="81" t="s">
        <v>3930</v>
      </c>
    </row>
    <row r="4" spans="1:20">
      <c r="A4" s="82"/>
      <c r="B4" s="83"/>
      <c r="C4" s="84"/>
      <c r="D4" s="84"/>
      <c r="E4" s="84"/>
      <c r="F4" s="85"/>
      <c r="G4" s="8"/>
      <c r="H4" s="8"/>
      <c r="I4" s="8"/>
      <c r="J4" s="8"/>
      <c r="K4" s="8"/>
      <c r="L4" s="8"/>
      <c r="M4" s="8"/>
      <c r="N4" s="8"/>
      <c r="O4" s="8"/>
      <c r="P4" s="8"/>
      <c r="Q4" s="8"/>
      <c r="R4" s="8"/>
    </row>
    <row r="5" spans="1:20" ht="12.75">
      <c r="A5" s="86"/>
      <c r="B5" s="1692"/>
      <c r="C5" s="1692"/>
      <c r="D5" s="1692"/>
      <c r="E5" s="1692"/>
      <c r="F5" s="1692"/>
      <c r="G5" s="87"/>
      <c r="H5" s="87"/>
      <c r="I5" s="88"/>
      <c r="J5" s="88"/>
    </row>
    <row r="6" spans="1:20" ht="12.75">
      <c r="A6" s="89" t="s">
        <v>977</v>
      </c>
      <c r="B6" s="90" t="s">
        <v>3931</v>
      </c>
      <c r="C6" s="91"/>
      <c r="D6" s="91"/>
      <c r="E6" s="92"/>
      <c r="F6" s="93">
        <f>'B-VIO-1. ZEMLJANI I AB RADOVI'!F62</f>
        <v>0</v>
      </c>
      <c r="G6" s="94"/>
      <c r="H6" s="94"/>
      <c r="I6" s="95"/>
      <c r="J6" s="95"/>
    </row>
    <row r="7" spans="1:20" ht="12.75">
      <c r="A7" s="96"/>
      <c r="B7" s="90"/>
      <c r="C7" s="97"/>
      <c r="D7" s="97"/>
      <c r="E7" s="98"/>
      <c r="F7" s="99"/>
      <c r="I7" s="94"/>
      <c r="J7" s="94"/>
    </row>
    <row r="8" spans="1:20" s="101" customFormat="1" ht="12.75">
      <c r="A8" s="89" t="s">
        <v>978</v>
      </c>
      <c r="B8" s="100" t="str">
        <f>'B-VIO-2. VODOVOD'!B138</f>
        <v>VODOVODNI SUSTAVI</v>
      </c>
      <c r="C8" s="91"/>
      <c r="D8" s="91"/>
      <c r="E8" s="92"/>
      <c r="F8" s="93">
        <f>'B-VIO-2. VODOVOD'!F138</f>
        <v>0</v>
      </c>
      <c r="G8" s="78"/>
      <c r="H8" s="78"/>
      <c r="I8" s="78"/>
      <c r="J8" s="78"/>
      <c r="K8" s="94"/>
      <c r="L8" s="94"/>
      <c r="M8" s="94"/>
      <c r="N8" s="94"/>
      <c r="O8" s="94"/>
      <c r="P8" s="94"/>
      <c r="Q8" s="94"/>
      <c r="R8" s="94"/>
      <c r="S8" s="94"/>
      <c r="T8" s="94"/>
    </row>
    <row r="9" spans="1:20" ht="12.75">
      <c r="A9" s="89"/>
      <c r="B9" s="90"/>
      <c r="C9" s="97"/>
      <c r="D9" s="97"/>
      <c r="E9" s="98"/>
      <c r="F9" s="99"/>
      <c r="G9" s="94"/>
      <c r="H9" s="94"/>
      <c r="I9" s="95"/>
      <c r="J9" s="95"/>
    </row>
    <row r="10" spans="1:20" ht="12.75">
      <c r="A10" s="96" t="s">
        <v>980</v>
      </c>
      <c r="B10" s="90" t="str">
        <f>'B-VIO-3. KANALIZACIJA'!B136</f>
        <v>KANALIZACIJSKI SUSTAVI</v>
      </c>
      <c r="C10" s="91"/>
      <c r="D10" s="91"/>
      <c r="E10" s="92"/>
      <c r="F10" s="93">
        <f>'B-VIO-3. KANALIZACIJA'!F136</f>
        <v>0</v>
      </c>
      <c r="I10" s="94"/>
      <c r="J10" s="94"/>
    </row>
    <row r="11" spans="1:20" s="101" customFormat="1" ht="12.75">
      <c r="A11" s="89"/>
      <c r="B11" s="100"/>
      <c r="C11" s="97"/>
      <c r="D11" s="97"/>
      <c r="E11" s="98"/>
      <c r="F11" s="99"/>
      <c r="G11" s="78"/>
      <c r="H11" s="78"/>
      <c r="I11" s="78"/>
      <c r="J11" s="78"/>
      <c r="K11" s="94"/>
      <c r="L11" s="94"/>
      <c r="M11" s="94"/>
      <c r="N11" s="94"/>
      <c r="O11" s="94"/>
      <c r="P11" s="94"/>
      <c r="Q11" s="94"/>
      <c r="R11" s="94"/>
      <c r="S11" s="94"/>
      <c r="T11" s="94"/>
    </row>
    <row r="12" spans="1:20" ht="12.75">
      <c r="A12" s="89" t="s">
        <v>981</v>
      </c>
      <c r="B12" s="100" t="str">
        <f>'B-VIO-4. SANITARNA OPREMA'!B137</f>
        <v>SANITARNA OPREMA</v>
      </c>
      <c r="C12" s="91"/>
      <c r="D12" s="91"/>
      <c r="E12" s="92"/>
      <c r="F12" s="93">
        <f>'B-VIO-4. SANITARNA OPREMA'!F137</f>
        <v>0</v>
      </c>
    </row>
    <row r="13" spans="1:20" ht="12.75">
      <c r="A13" s="89"/>
      <c r="B13" s="100"/>
      <c r="C13" s="97"/>
      <c r="D13" s="97"/>
      <c r="E13" s="98"/>
      <c r="F13" s="102"/>
    </row>
    <row r="14" spans="1:20" s="87" customFormat="1" ht="12.75">
      <c r="A14" s="103"/>
      <c r="B14" s="103"/>
      <c r="C14" s="104"/>
      <c r="D14" s="104"/>
      <c r="E14" s="105"/>
      <c r="F14" s="106"/>
      <c r="G14" s="88"/>
      <c r="H14" s="88"/>
      <c r="I14" s="78"/>
      <c r="J14" s="78"/>
    </row>
    <row r="15" spans="1:20" ht="12.75">
      <c r="A15" s="107"/>
      <c r="B15" s="107"/>
      <c r="C15" s="108"/>
      <c r="D15" s="108"/>
      <c r="E15" s="109"/>
      <c r="F15" s="110"/>
      <c r="G15" s="87"/>
      <c r="H15" s="87"/>
    </row>
    <row r="16" spans="1:20" s="88" customFormat="1" ht="15.75">
      <c r="A16" s="111"/>
      <c r="B16" s="112"/>
      <c r="C16" s="113"/>
      <c r="D16" s="114"/>
      <c r="E16" s="115"/>
      <c r="F16" s="116"/>
      <c r="G16" s="78"/>
      <c r="H16" s="78"/>
      <c r="I16" s="87"/>
      <c r="J16" s="87"/>
    </row>
    <row r="17" spans="1:20" s="87" customFormat="1" ht="12.75">
      <c r="A17" s="117"/>
      <c r="B17" s="1693" t="s">
        <v>3932</v>
      </c>
      <c r="C17" s="1693"/>
      <c r="D17" s="118"/>
      <c r="E17" s="118"/>
      <c r="F17" s="119">
        <f>SUM(F6:F13)</f>
        <v>0</v>
      </c>
      <c r="I17" s="78"/>
      <c r="J17" s="78"/>
    </row>
    <row r="18" spans="1:20" s="88" customFormat="1" ht="12.75">
      <c r="A18" s="120"/>
      <c r="B18" s="121"/>
      <c r="C18" s="121"/>
      <c r="D18" s="121"/>
      <c r="E18" s="121"/>
      <c r="F18" s="122"/>
      <c r="G18" s="94"/>
      <c r="H18" s="94"/>
      <c r="I18" s="95"/>
      <c r="J18" s="95"/>
      <c r="K18" s="95"/>
      <c r="L18" s="95"/>
      <c r="M18" s="95"/>
      <c r="N18" s="95"/>
      <c r="O18" s="95"/>
      <c r="P18" s="95"/>
      <c r="Q18" s="95"/>
      <c r="R18" s="87"/>
      <c r="S18" s="87"/>
    </row>
    <row r="19" spans="1:20" s="101" customFormat="1" ht="12.75">
      <c r="A19" s="111"/>
      <c r="B19" s="121"/>
      <c r="C19" s="123" t="s">
        <v>3933</v>
      </c>
      <c r="D19" s="123"/>
      <c r="E19" s="124">
        <v>0.25</v>
      </c>
      <c r="F19" s="125">
        <f>F17*E19</f>
        <v>0</v>
      </c>
      <c r="G19" s="78"/>
      <c r="H19" s="78"/>
      <c r="I19" s="94"/>
      <c r="J19" s="94"/>
      <c r="K19" s="94"/>
      <c r="L19" s="94"/>
      <c r="M19" s="94"/>
      <c r="N19" s="94"/>
      <c r="O19" s="94"/>
      <c r="P19" s="94"/>
      <c r="Q19" s="94"/>
      <c r="R19" s="94"/>
      <c r="S19" s="94"/>
      <c r="T19" s="94"/>
    </row>
    <row r="20" spans="1:20" s="88" customFormat="1" ht="12.75">
      <c r="A20" s="120"/>
      <c r="B20" s="121"/>
      <c r="C20" s="126"/>
      <c r="D20" s="126"/>
      <c r="E20" s="127"/>
      <c r="F20" s="128"/>
      <c r="I20" s="78"/>
      <c r="J20" s="78"/>
    </row>
    <row r="21" spans="1:20" s="88" customFormat="1" ht="13.5" thickBot="1">
      <c r="A21" s="120"/>
      <c r="B21" s="129"/>
      <c r="C21" s="129"/>
      <c r="D21" s="129"/>
      <c r="E21" s="129"/>
      <c r="F21" s="130"/>
      <c r="G21" s="87"/>
      <c r="H21" s="87"/>
    </row>
    <row r="22" spans="1:20" s="88" customFormat="1" ht="13.5" thickTop="1">
      <c r="A22" s="117"/>
      <c r="D22" s="121"/>
      <c r="E22" s="121"/>
      <c r="G22" s="87"/>
      <c r="H22" s="87"/>
      <c r="I22" s="87"/>
      <c r="J22" s="87"/>
    </row>
    <row r="23" spans="1:20" s="88" customFormat="1" ht="12.75">
      <c r="A23" s="131"/>
      <c r="B23" s="1694" t="s">
        <v>3934</v>
      </c>
      <c r="C23" s="1694"/>
      <c r="D23" s="132"/>
      <c r="E23" s="133"/>
      <c r="F23" s="122">
        <f>SUM(F17+F19)</f>
        <v>0</v>
      </c>
      <c r="G23" s="94"/>
      <c r="H23" s="94"/>
      <c r="I23" s="95"/>
      <c r="J23" s="95"/>
    </row>
    <row r="24" spans="1:20" s="88" customFormat="1" ht="15.75">
      <c r="A24" s="134"/>
      <c r="B24" s="135"/>
      <c r="C24" s="136"/>
      <c r="D24" s="137"/>
      <c r="E24" s="138"/>
      <c r="F24" s="139"/>
      <c r="I24" s="94"/>
      <c r="J24" s="94"/>
    </row>
    <row r="25" spans="1:20" s="88" customFormat="1" ht="15.75">
      <c r="A25" s="134"/>
      <c r="B25" s="137"/>
      <c r="C25" s="136"/>
      <c r="D25" s="137"/>
      <c r="E25" s="140"/>
      <c r="F25" s="139"/>
    </row>
    <row r="26" spans="1:20" s="88" customFormat="1">
      <c r="F26" s="141"/>
    </row>
    <row r="27" spans="1:20" s="88" customFormat="1">
      <c r="F27" s="141"/>
    </row>
    <row r="28" spans="1:20" s="88" customFormat="1">
      <c r="F28" s="141"/>
    </row>
    <row r="29" spans="1:20" s="88" customFormat="1">
      <c r="F29" s="141"/>
    </row>
    <row r="30" spans="1:20" s="88" customFormat="1">
      <c r="F30" s="141"/>
    </row>
    <row r="31" spans="1:20" s="88" customFormat="1">
      <c r="F31" s="141"/>
    </row>
    <row r="32" spans="1:20" s="88" customFormat="1">
      <c r="F32" s="141"/>
    </row>
    <row r="33" spans="1:10" s="88" customFormat="1">
      <c r="F33" s="141"/>
    </row>
    <row r="34" spans="1:10" s="88" customFormat="1">
      <c r="F34" s="141"/>
    </row>
    <row r="35" spans="1:10" s="88" customFormat="1">
      <c r="F35" s="141"/>
    </row>
    <row r="36" spans="1:10" s="88" customFormat="1">
      <c r="F36" s="141"/>
    </row>
    <row r="37" spans="1:10" s="88" customFormat="1">
      <c r="F37" s="141"/>
    </row>
    <row r="38" spans="1:10" s="88" customFormat="1">
      <c r="F38" s="141"/>
    </row>
    <row r="39" spans="1:10" s="88" customFormat="1">
      <c r="F39" s="141"/>
    </row>
    <row r="40" spans="1:10" s="88" customFormat="1">
      <c r="F40" s="141"/>
    </row>
    <row r="41" spans="1:10">
      <c r="A41" s="88"/>
      <c r="B41" s="88"/>
      <c r="C41" s="88"/>
      <c r="D41" s="88"/>
      <c r="E41" s="88"/>
      <c r="F41" s="141"/>
      <c r="G41" s="88"/>
      <c r="H41" s="88"/>
      <c r="I41" s="88"/>
      <c r="J41" s="88"/>
    </row>
    <row r="42" spans="1:10">
      <c r="A42" s="88"/>
      <c r="B42" s="88"/>
      <c r="C42" s="88"/>
      <c r="D42" s="88"/>
      <c r="E42" s="88"/>
      <c r="F42" s="141"/>
      <c r="G42" s="88"/>
      <c r="H42" s="88"/>
      <c r="I42" s="88"/>
      <c r="J42" s="88"/>
    </row>
    <row r="43" spans="1:10">
      <c r="A43" s="88"/>
      <c r="B43" s="88"/>
      <c r="C43" s="88"/>
      <c r="D43" s="88"/>
      <c r="E43" s="88"/>
      <c r="F43" s="141"/>
      <c r="G43" s="88"/>
      <c r="H43" s="88"/>
      <c r="I43" s="88"/>
      <c r="J43" s="88"/>
    </row>
    <row r="44" spans="1:10">
      <c r="A44" s="88"/>
      <c r="B44" s="88"/>
      <c r="C44" s="88"/>
      <c r="D44" s="88"/>
      <c r="E44" s="88"/>
      <c r="F44" s="141"/>
      <c r="G44" s="88"/>
      <c r="H44" s="88"/>
      <c r="I44" s="88"/>
      <c r="J44" s="88"/>
    </row>
    <row r="45" spans="1:10">
      <c r="I45" s="88"/>
      <c r="J45" s="88"/>
    </row>
  </sheetData>
  <sheetProtection algorithmName="SHA-512" hashValue="fEmeLHjF/x3kJt1w4BQ3UlxsTKt7I5fJT0J298KLwx/yaY7AL6B3zzh73jaWq+Z6mZFCvNlQZV74ODZf0qzVBg==" saltValue="4xj5YrG0QBbBpD70HhRMhw==" spinCount="100000" sheet="1" objects="1" scenarios="1"/>
  <mergeCells count="5">
    <mergeCell ref="B1:F1"/>
    <mergeCell ref="A2:F2"/>
    <mergeCell ref="B5:F5"/>
    <mergeCell ref="B17:C17"/>
    <mergeCell ref="B23:C23"/>
  </mergeCells>
  <printOptions horizontalCentered="1" gridLinesSet="0"/>
  <pageMargins left="0.59055118110236227" right="0.19685039370078741" top="0.39370078740157483" bottom="0.39370078740157483" header="0.47244094488188981"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20</vt:i4>
      </vt:variant>
      <vt:variant>
        <vt:lpstr>Imenovani rasponi</vt:lpstr>
      </vt:variant>
      <vt:variant>
        <vt:i4>24</vt:i4>
      </vt:variant>
    </vt:vector>
  </HeadingPairs>
  <TitlesOfParts>
    <vt:vector size="44" baseType="lpstr">
      <vt:lpstr>Naslovnica </vt:lpstr>
      <vt:lpstr>OTU</vt:lpstr>
      <vt:lpstr>Preambule-konstrukcija</vt:lpstr>
      <vt:lpstr>A0 Rušenje</vt:lpstr>
      <vt:lpstr>A1 Građ</vt:lpstr>
      <vt:lpstr>A2 Obrt</vt:lpstr>
      <vt:lpstr>A3 Konzervatorski</vt:lpstr>
      <vt:lpstr>B-VIO-OTU</vt:lpstr>
      <vt:lpstr>B-BIO-REKAP</vt:lpstr>
      <vt:lpstr>B-VIO-1. ZEMLJANI I AB RADOVI</vt:lpstr>
      <vt:lpstr>B-VIO-2. VODOVOD</vt:lpstr>
      <vt:lpstr>B-VIO-3. KANALIZACIJA</vt:lpstr>
      <vt:lpstr>B-VIO-4. SANITARNA OPREMA</vt:lpstr>
      <vt:lpstr>C-OU</vt:lpstr>
      <vt:lpstr>C GH</vt:lpstr>
      <vt:lpstr>D Sprinkler</vt:lpstr>
      <vt:lpstr>E Vertikalni transport</vt:lpstr>
      <vt:lpstr>F Elektro</vt:lpstr>
      <vt:lpstr>G Krajobraz</vt:lpstr>
      <vt:lpstr>Rekapitulacija</vt:lpstr>
      <vt:lpstr>'G Krajobraz'!_Toc148330261</vt:lpstr>
      <vt:lpstr>'B-BIO-REKAP'!Ispis_naslova</vt:lpstr>
      <vt:lpstr>'B-VIO-1. ZEMLJANI I AB RADOVI'!Ispis_naslova</vt:lpstr>
      <vt:lpstr>'B-VIO-2. VODOVOD'!Ispis_naslova</vt:lpstr>
      <vt:lpstr>'B-VIO-3. KANALIZACIJA'!Ispis_naslova</vt:lpstr>
      <vt:lpstr>'B-VIO-4. SANITARNA OPREMA'!Ispis_naslova</vt:lpstr>
      <vt:lpstr>'E Vertikalni transport'!Ispis_naslova</vt:lpstr>
      <vt:lpstr>'G Krajobraz'!Ispis_naslova</vt:lpstr>
      <vt:lpstr>'A0 Rušenje'!Podrucje_ispisa</vt:lpstr>
      <vt:lpstr>'A1 Građ'!Podrucje_ispisa</vt:lpstr>
      <vt:lpstr>'A2 Obrt'!Podrucje_ispisa</vt:lpstr>
      <vt:lpstr>'A3 Konzervatorski'!Podrucje_ispisa</vt:lpstr>
      <vt:lpstr>'B-BIO-REKAP'!Podrucje_ispisa</vt:lpstr>
      <vt:lpstr>'B-VIO-1. ZEMLJANI I AB RADOVI'!Podrucje_ispisa</vt:lpstr>
      <vt:lpstr>'B-VIO-2. VODOVOD'!Podrucje_ispisa</vt:lpstr>
      <vt:lpstr>'B-VIO-3. KANALIZACIJA'!Podrucje_ispisa</vt:lpstr>
      <vt:lpstr>'B-VIO-4. SANITARNA OPREMA'!Podrucje_ispisa</vt:lpstr>
      <vt:lpstr>'B-VIO-OTU'!Podrucje_ispisa</vt:lpstr>
      <vt:lpstr>'D Sprinkler'!Podrucje_ispisa</vt:lpstr>
      <vt:lpstr>'E Vertikalni transport'!Podrucje_ispisa</vt:lpstr>
      <vt:lpstr>'G Krajobraz'!Podrucje_ispisa</vt:lpstr>
      <vt:lpstr>'Naslovnica '!Podrucje_ispisa</vt:lpstr>
      <vt:lpstr>OTU!Podrucje_ispisa</vt:lpstr>
      <vt:lpstr>'Preambule-konstrukcija'!Podrucje_ispisa</vt:lpstr>
    </vt:vector>
  </TitlesOfParts>
  <Company>Algebra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Ivan Krešić</cp:lastModifiedBy>
  <cp:lastPrinted>2026-04-10T07:48:36Z</cp:lastPrinted>
  <dcterms:created xsi:type="dcterms:W3CDTF">2023-10-30T19:02:21Z</dcterms:created>
  <dcterms:modified xsi:type="dcterms:W3CDTF">2026-07-02T07:16:32Z</dcterms:modified>
</cp:coreProperties>
</file>